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media/image12.jpg" ContentType="image/jpg"/>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 RESPALDO\00 YOUTUBE TAX Y ALAN B\"/>
    </mc:Choice>
  </mc:AlternateContent>
  <bookViews>
    <workbookView xWindow="0" yWindow="0" windowWidth="20490" windowHeight="7650" firstSheet="7" activeTab="7"/>
  </bookViews>
  <sheets>
    <sheet name="Persona Moral" sheetId="2" state="hidden" r:id="rId1"/>
    <sheet name="INGRESOS" sheetId="7" state="hidden" r:id="rId2"/>
    <sheet name="EGRESOS" sheetId="8" state="hidden" r:id="rId3"/>
    <sheet name="Personas Fisicas Act. Emp." sheetId="1" state="hidden" r:id="rId4"/>
    <sheet name="XML EMIT." sheetId="16" state="hidden" r:id="rId5"/>
    <sheet name="XML RECI." sheetId="17" state="hidden" r:id="rId6"/>
    <sheet name="Hoja4" sheetId="23" state="hidden" r:id="rId7"/>
    <sheet name="C.C.M. " sheetId="48" r:id="rId8"/>
    <sheet name="INGRESOSRES" sheetId="38" r:id="rId9"/>
    <sheet name="MATERIALIDAD" sheetId="44" state="hidden" r:id="rId10"/>
    <sheet name="Hoja5" sheetId="43" state="hidden" r:id="rId11"/>
    <sheet name="EGRESOSRES" sheetId="39" r:id="rId12"/>
    <sheet name="CONFIANZA M." sheetId="13" r:id="rId13"/>
    <sheet name="IVA RESICO" sheetId="29" r:id="rId14"/>
    <sheet name="CONFIANZA A." sheetId="28" r:id="rId15"/>
    <sheet name="EMPRESARIAL" sheetId="26" state="hidden" r:id="rId16"/>
    <sheet name="RIF-RES" sheetId="30" r:id="rId17"/>
    <sheet name="AÑO IRREGULAR" sheetId="27" r:id="rId18"/>
    <sheet name="DIAPO 15,16,17" sheetId="31" state="hidden" r:id="rId19"/>
    <sheet name="PTU 27" sheetId="34" r:id="rId20"/>
    <sheet name="RETENCIÓN31" sheetId="35" state="hidden" r:id="rId21"/>
    <sheet name="EJEMPLO" sheetId="37" state="hidden" r:id="rId22"/>
    <sheet name="RETENCION" sheetId="40" r:id="rId23"/>
    <sheet name="AGAPES" sheetId="41" r:id="rId24"/>
    <sheet name="CFDI AGAPE" sheetId="45" r:id="rId25"/>
    <sheet name="AGAPE CP" sheetId="46" r:id="rId26"/>
    <sheet name="PROPORCION IVA" sheetId="42" r:id="rId27"/>
    <sheet name="Hoja1" sheetId="47" state="hidden" r:id="rId28"/>
    <sheet name="Hoja10" sheetId="36" state="hidden" r:id="rId29"/>
    <sheet name="Hoja3" sheetId="22" state="hidden" r:id="rId30"/>
    <sheet name="RETENCION DIARIA" sheetId="11" state="hidden" r:id="rId31"/>
    <sheet name="Hoja2" sheetId="12" state="hidden" r:id="rId32"/>
    <sheet name="Tablas de ISR" sheetId="4" state="hidden" r:id="rId33"/>
    <sheet name="DEDUCCIONES " sheetId="9" state="hidden" r:id="rId34"/>
    <sheet name="DEPRECIACIONES" sheetId="10" state="hidden" r:id="rId35"/>
    <sheet name="Tablas de ISR RIF" sheetId="5" state="hidden" r:id="rId36"/>
  </sheets>
  <externalReferences>
    <externalReference r:id="rId37"/>
    <externalReference r:id="rId38"/>
    <externalReference r:id="rId39"/>
    <externalReference r:id="rId40"/>
    <externalReference r:id="rId41"/>
    <externalReference r:id="rId4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55" i="38" l="1"/>
  <c r="AB56" i="38"/>
  <c r="AB55" i="38"/>
  <c r="AB54" i="38"/>
  <c r="AB53" i="38"/>
  <c r="C19" i="29" l="1"/>
  <c r="C42" i="13"/>
  <c r="C41" i="13"/>
  <c r="I14" i="47" l="1"/>
  <c r="K15" i="47"/>
  <c r="K16" i="47"/>
  <c r="I20" i="47"/>
  <c r="AE47" i="39" l="1"/>
  <c r="AC47" i="39"/>
  <c r="AB47" i="39"/>
  <c r="AB16" i="38"/>
  <c r="N46" i="13" l="1"/>
  <c r="M46" i="13"/>
  <c r="L46" i="13"/>
  <c r="K46" i="13"/>
  <c r="C46" i="13"/>
  <c r="C50" i="13" s="1"/>
  <c r="C54" i="13" l="1"/>
  <c r="C34" i="26"/>
  <c r="O23" i="42"/>
  <c r="O22" i="42"/>
  <c r="O21" i="42"/>
  <c r="P18" i="42"/>
  <c r="P17" i="42"/>
  <c r="P16" i="42"/>
  <c r="P15" i="42"/>
  <c r="P14" i="42"/>
  <c r="M9" i="46" l="1"/>
  <c r="X16" i="40"/>
  <c r="Y15" i="40"/>
  <c r="J9" i="40"/>
  <c r="I9" i="40"/>
  <c r="AF5" i="38"/>
  <c r="F15" i="28"/>
  <c r="F11" i="28"/>
  <c r="AB68" i="38" l="1"/>
  <c r="C43" i="27"/>
  <c r="C41" i="27"/>
  <c r="AA8" i="37"/>
  <c r="Z8" i="37"/>
  <c r="Y8" i="37"/>
  <c r="X8" i="37"/>
  <c r="W8" i="37"/>
  <c r="V8" i="37"/>
  <c r="U8" i="37"/>
  <c r="J46" i="13"/>
  <c r="I46" i="13"/>
  <c r="H46" i="13"/>
  <c r="G46" i="13"/>
  <c r="F46" i="13"/>
  <c r="E46" i="13"/>
  <c r="D46" i="13"/>
  <c r="F17" i="28" l="1"/>
  <c r="G21" i="28" s="1"/>
  <c r="F21" i="28"/>
  <c r="F20" i="28" l="1"/>
  <c r="F22" i="28" s="1"/>
  <c r="F19" i="28"/>
  <c r="E15" i="46" l="1"/>
  <c r="G13" i="46"/>
  <c r="G15" i="46" s="1"/>
  <c r="F13" i="46"/>
  <c r="F15" i="46" s="1"/>
  <c r="E13" i="46"/>
  <c r="A90" i="40"/>
  <c r="B89" i="40"/>
  <c r="B88" i="40"/>
  <c r="B82" i="40"/>
  <c r="B81" i="40"/>
  <c r="B83" i="40" s="1"/>
  <c r="B84" i="40" s="1"/>
  <c r="G68" i="40"/>
  <c r="T17" i="40"/>
  <c r="S17" i="40"/>
  <c r="R17" i="40"/>
  <c r="Q17" i="40"/>
  <c r="P17" i="40"/>
  <c r="M12" i="40"/>
  <c r="I10" i="40"/>
  <c r="J12" i="40"/>
  <c r="H9" i="40"/>
  <c r="H12" i="40" s="1"/>
  <c r="F9" i="40"/>
  <c r="D9" i="40"/>
  <c r="B9" i="40"/>
  <c r="I7" i="40"/>
  <c r="F7" i="40"/>
  <c r="E7" i="40"/>
  <c r="C7" i="40"/>
  <c r="D10" i="40" l="1"/>
  <c r="D12" i="40" s="1"/>
  <c r="F10" i="40"/>
  <c r="F12" i="40" s="1"/>
  <c r="I69" i="44" l="1"/>
  <c r="I68" i="44"/>
  <c r="I67" i="44"/>
  <c r="I66" i="44"/>
  <c r="I65" i="44"/>
  <c r="I64" i="44"/>
  <c r="I63" i="44"/>
  <c r="I62" i="44"/>
  <c r="I61" i="44"/>
  <c r="I60" i="44"/>
  <c r="I59" i="44"/>
  <c r="I58" i="44"/>
  <c r="I57" i="44"/>
  <c r="I56" i="44"/>
  <c r="I55" i="44"/>
  <c r="I54" i="44"/>
  <c r="I53" i="44"/>
  <c r="I52" i="44"/>
  <c r="I51" i="44"/>
  <c r="I50" i="44"/>
  <c r="I49" i="44"/>
  <c r="I45" i="44"/>
  <c r="I44" i="44"/>
  <c r="I43" i="44"/>
  <c r="I42" i="44"/>
  <c r="I41" i="44"/>
  <c r="I40" i="44"/>
  <c r="I39" i="44"/>
  <c r="E39" i="44"/>
  <c r="I38" i="44"/>
  <c r="I37" i="44"/>
  <c r="I36" i="44"/>
  <c r="I35" i="44"/>
  <c r="I34" i="44"/>
  <c r="I33" i="44"/>
  <c r="L10" i="44"/>
  <c r="L9" i="44"/>
  <c r="L11" i="44" s="1"/>
  <c r="L12" i="44" s="1"/>
  <c r="L13" i="44" s="1"/>
  <c r="D26" i="42" l="1"/>
  <c r="F25" i="42"/>
  <c r="F24" i="42"/>
  <c r="K23" i="42"/>
  <c r="F23" i="42"/>
  <c r="F22" i="42"/>
  <c r="F21" i="42"/>
  <c r="F26" i="42" s="1"/>
  <c r="D17" i="42"/>
  <c r="F16" i="42"/>
  <c r="I10" i="37" l="1"/>
  <c r="E14" i="41" l="1"/>
  <c r="E15" i="41" s="1"/>
  <c r="C13" i="41"/>
  <c r="E11" i="41"/>
  <c r="C11" i="41"/>
  <c r="C35" i="27" l="1"/>
  <c r="O10" i="29"/>
  <c r="M7" i="26"/>
  <c r="L7" i="26"/>
  <c r="K7" i="26"/>
  <c r="J7" i="26"/>
  <c r="I7" i="26"/>
  <c r="H7" i="26"/>
  <c r="F36" i="37"/>
  <c r="F11" i="37"/>
  <c r="AD5" i="39" l="1"/>
  <c r="AD47" i="39" s="1"/>
  <c r="AD14" i="38"/>
  <c r="AJ14" i="38" s="1"/>
  <c r="AD13" i="38"/>
  <c r="AJ13" i="38" s="1"/>
  <c r="AD12" i="38"/>
  <c r="AJ12" i="38" s="1"/>
  <c r="AD11" i="38"/>
  <c r="AJ11" i="38" s="1"/>
  <c r="AD10" i="38"/>
  <c r="AJ10" i="38" s="1"/>
  <c r="AD9" i="38"/>
  <c r="AJ9" i="38" s="1"/>
  <c r="AD8" i="38"/>
  <c r="AJ8" i="38" s="1"/>
  <c r="AD7" i="38"/>
  <c r="AJ7" i="38" s="1"/>
  <c r="AD6" i="38"/>
  <c r="AD5" i="38"/>
  <c r="AJ5" i="38" s="1"/>
  <c r="AD16" i="38" l="1"/>
  <c r="AJ6" i="38"/>
  <c r="AJ16" i="38" s="1"/>
  <c r="M23" i="35" l="1"/>
  <c r="M21" i="35"/>
  <c r="C28" i="29"/>
  <c r="D6" i="34" l="1"/>
  <c r="D8" i="34" l="1"/>
  <c r="D10" i="34" s="1"/>
  <c r="D12" i="34" s="1"/>
  <c r="B1" i="35"/>
  <c r="C39" i="27"/>
  <c r="P27" i="31" l="1"/>
  <c r="D34" i="30"/>
  <c r="F34" i="30" s="1"/>
  <c r="H34" i="30" s="1"/>
  <c r="J34" i="30" s="1"/>
  <c r="L34" i="30" s="1"/>
  <c r="N34" i="30" s="1"/>
  <c r="L8" i="30"/>
  <c r="L9" i="30" s="1"/>
  <c r="J8" i="30"/>
  <c r="J9" i="30" s="1"/>
  <c r="B20" i="30"/>
  <c r="B14" i="30"/>
  <c r="C13" i="30"/>
  <c r="C14" i="30" s="1"/>
  <c r="C8" i="30"/>
  <c r="C9" i="30" s="1"/>
  <c r="C15" i="30" l="1"/>
  <c r="C20" i="30"/>
  <c r="C30" i="30" l="1"/>
  <c r="C26" i="30" s="1"/>
  <c r="C22" i="30"/>
  <c r="C24" i="30" s="1"/>
  <c r="C28" i="30" l="1"/>
  <c r="C32" i="30" s="1"/>
  <c r="C38" i="30" s="1"/>
  <c r="F32" i="13" l="1"/>
  <c r="N33" i="29" l="1"/>
  <c r="M33" i="29"/>
  <c r="L33" i="29"/>
  <c r="K33" i="29"/>
  <c r="J33" i="29"/>
  <c r="I33" i="29"/>
  <c r="H33" i="29"/>
  <c r="G33" i="29"/>
  <c r="F33" i="29"/>
  <c r="E33" i="29"/>
  <c r="D33" i="29"/>
  <c r="O32" i="29"/>
  <c r="N31" i="29"/>
  <c r="M31" i="29"/>
  <c r="L31" i="29"/>
  <c r="K31" i="29"/>
  <c r="J31" i="29"/>
  <c r="I31" i="29"/>
  <c r="H31" i="29"/>
  <c r="G31" i="29"/>
  <c r="F31" i="29"/>
  <c r="E31" i="29"/>
  <c r="D31" i="29"/>
  <c r="C31" i="29"/>
  <c r="N30" i="29"/>
  <c r="M30" i="29"/>
  <c r="L30" i="29"/>
  <c r="K30" i="29"/>
  <c r="J30" i="29"/>
  <c r="I30" i="29"/>
  <c r="H30" i="29"/>
  <c r="H34" i="29" s="1"/>
  <c r="G30" i="29"/>
  <c r="F30" i="29"/>
  <c r="E30" i="29"/>
  <c r="D30" i="29"/>
  <c r="N28" i="29"/>
  <c r="M28" i="29"/>
  <c r="L28" i="29"/>
  <c r="K28" i="29"/>
  <c r="J28" i="29"/>
  <c r="I28" i="29"/>
  <c r="H28" i="29"/>
  <c r="G28" i="29"/>
  <c r="F28" i="29"/>
  <c r="E28" i="29"/>
  <c r="D28" i="29"/>
  <c r="O27" i="29"/>
  <c r="O26" i="29"/>
  <c r="O25" i="29"/>
  <c r="O24" i="29"/>
  <c r="N19" i="29"/>
  <c r="M19" i="29"/>
  <c r="L19" i="29"/>
  <c r="K19" i="29"/>
  <c r="J19" i="29"/>
  <c r="I19" i="29"/>
  <c r="H19" i="29"/>
  <c r="G19" i="29"/>
  <c r="F19" i="29"/>
  <c r="E19" i="29"/>
  <c r="D19" i="29"/>
  <c r="N18" i="29"/>
  <c r="M18" i="29"/>
  <c r="L18" i="29"/>
  <c r="K18" i="29"/>
  <c r="J18" i="29"/>
  <c r="I18" i="29"/>
  <c r="H18" i="29"/>
  <c r="G18" i="29"/>
  <c r="F18" i="29"/>
  <c r="E18" i="29"/>
  <c r="D18" i="29"/>
  <c r="C18" i="29"/>
  <c r="N16" i="29"/>
  <c r="M16" i="29"/>
  <c r="L16" i="29"/>
  <c r="K16" i="29"/>
  <c r="J16" i="29"/>
  <c r="I16" i="29"/>
  <c r="H16" i="29"/>
  <c r="G16" i="29"/>
  <c r="F16" i="29"/>
  <c r="E16" i="29"/>
  <c r="D16" i="29"/>
  <c r="C16" i="29"/>
  <c r="O15" i="29"/>
  <c r="O14" i="29"/>
  <c r="O13" i="29"/>
  <c r="O12" i="29"/>
  <c r="O11" i="29"/>
  <c r="O9" i="29"/>
  <c r="E21" i="29" l="1"/>
  <c r="F21" i="29"/>
  <c r="N21" i="29"/>
  <c r="L21" i="29"/>
  <c r="M21" i="29"/>
  <c r="G21" i="29"/>
  <c r="D21" i="29"/>
  <c r="D37" i="29" s="1"/>
  <c r="G34" i="29"/>
  <c r="H21" i="29"/>
  <c r="H38" i="29" s="1"/>
  <c r="I21" i="29"/>
  <c r="J21" i="29"/>
  <c r="O19" i="29"/>
  <c r="K21" i="29"/>
  <c r="O33" i="29"/>
  <c r="I34" i="29"/>
  <c r="I38" i="29" s="1"/>
  <c r="J34" i="29"/>
  <c r="F34" i="29"/>
  <c r="F38" i="29" s="1"/>
  <c r="O31" i="29"/>
  <c r="K34" i="29"/>
  <c r="D34" i="29"/>
  <c r="L34" i="29"/>
  <c r="L38" i="29" s="1"/>
  <c r="N34" i="29"/>
  <c r="N38" i="29" s="1"/>
  <c r="O28" i="29"/>
  <c r="E34" i="29"/>
  <c r="E38" i="29" s="1"/>
  <c r="M34" i="29"/>
  <c r="O18" i="29"/>
  <c r="O16" i="29"/>
  <c r="O30" i="29"/>
  <c r="C34" i="29"/>
  <c r="G38" i="29" l="1"/>
  <c r="G37" i="29"/>
  <c r="L37" i="29"/>
  <c r="N37" i="29"/>
  <c r="D38" i="29"/>
  <c r="H37" i="29"/>
  <c r="M38" i="29"/>
  <c r="I37" i="29"/>
  <c r="J38" i="29"/>
  <c r="K38" i="29"/>
  <c r="F37" i="29"/>
  <c r="O34" i="29"/>
  <c r="J37" i="29"/>
  <c r="K37" i="29"/>
  <c r="E37" i="29"/>
  <c r="M37" i="29"/>
  <c r="C13" i="26"/>
  <c r="K60" i="26"/>
  <c r="K59" i="26"/>
  <c r="K58" i="26"/>
  <c r="Q34" i="26"/>
  <c r="P34" i="26"/>
  <c r="P12" i="26"/>
  <c r="P11" i="26"/>
  <c r="C8" i="26"/>
  <c r="C14" i="26" l="1"/>
  <c r="C18" i="26" l="1"/>
  <c r="C28" i="26" s="1"/>
  <c r="C24" i="26" s="1"/>
  <c r="C20" i="26" l="1"/>
  <c r="C22" i="26" s="1"/>
  <c r="C26" i="26" s="1"/>
  <c r="C30" i="26" s="1"/>
  <c r="C36" i="26" s="1"/>
  <c r="H13" i="26"/>
  <c r="D32" i="26" l="1"/>
  <c r="I13" i="26"/>
  <c r="J13" i="26" l="1"/>
  <c r="J13" i="30" s="1"/>
  <c r="J14" i="30" s="1"/>
  <c r="K10" i="26"/>
  <c r="J16" i="30" l="1"/>
  <c r="L10" i="26"/>
  <c r="K13" i="26"/>
  <c r="L13" i="26" l="1"/>
  <c r="L13" i="30" s="1"/>
  <c r="L14" i="30" s="1"/>
  <c r="M10" i="26"/>
  <c r="N10" i="26" s="1"/>
  <c r="L16" i="30" l="1"/>
  <c r="N7" i="26" l="1"/>
  <c r="G7" i="26"/>
  <c r="F7" i="26"/>
  <c r="E7" i="26"/>
  <c r="D7" i="26"/>
  <c r="N54" i="13"/>
  <c r="M54" i="13"/>
  <c r="L54" i="13"/>
  <c r="K54" i="13"/>
  <c r="J54" i="13"/>
  <c r="I54" i="13"/>
  <c r="H54" i="13"/>
  <c r="G54" i="13"/>
  <c r="F54" i="13"/>
  <c r="E54" i="13"/>
  <c r="C24" i="27"/>
  <c r="C15" i="27"/>
  <c r="Q7" i="26" l="1"/>
  <c r="D8" i="30"/>
  <c r="D9" i="30" s="1"/>
  <c r="Q8" i="26"/>
  <c r="P7" i="26"/>
  <c r="P8" i="26" s="1"/>
  <c r="D8" i="26"/>
  <c r="E8" i="26" s="1"/>
  <c r="F8" i="26" s="1"/>
  <c r="G8" i="26" s="1"/>
  <c r="H8" i="26" s="1"/>
  <c r="I8" i="26" s="1"/>
  <c r="J8" i="26" s="1"/>
  <c r="K8" i="26" s="1"/>
  <c r="L8" i="26" s="1"/>
  <c r="M8" i="26" s="1"/>
  <c r="N8" i="26" s="1"/>
  <c r="D13" i="26"/>
  <c r="F8" i="30"/>
  <c r="F9" i="30" s="1"/>
  <c r="F13" i="26"/>
  <c r="H8" i="30"/>
  <c r="H9" i="30" s="1"/>
  <c r="G13" i="26"/>
  <c r="H13" i="30" s="1"/>
  <c r="H14" i="30" s="1"/>
  <c r="N8" i="30"/>
  <c r="N9" i="30" s="1"/>
  <c r="N13" i="26"/>
  <c r="D54" i="13"/>
  <c r="H16" i="30" l="1"/>
  <c r="D13" i="30"/>
  <c r="D14" i="30" s="1"/>
  <c r="D20" i="30" s="1"/>
  <c r="D14" i="26"/>
  <c r="D18" i="26" s="1"/>
  <c r="O9" i="30"/>
  <c r="D16" i="30"/>
  <c r="F18" i="30" s="1"/>
  <c r="O20" i="29"/>
  <c r="O21" i="29" s="1"/>
  <c r="C21" i="29"/>
  <c r="N51" i="13"/>
  <c r="M51" i="13"/>
  <c r="L51" i="13"/>
  <c r="K51" i="13"/>
  <c r="J51" i="13"/>
  <c r="I51" i="13"/>
  <c r="H51" i="13"/>
  <c r="G51" i="13"/>
  <c r="F51" i="13"/>
  <c r="E51" i="13"/>
  <c r="D51" i="13"/>
  <c r="C51" i="13"/>
  <c r="F15" i="13"/>
  <c r="D22" i="30" l="1"/>
  <c r="D24" i="30" s="1"/>
  <c r="D30" i="30"/>
  <c r="D26" i="30" s="1"/>
  <c r="D28" i="26"/>
  <c r="D20" i="26"/>
  <c r="D22" i="26" s="1"/>
  <c r="D24" i="26"/>
  <c r="C38" i="29"/>
  <c r="O38" i="29" s="1"/>
  <c r="C37" i="29"/>
  <c r="C52" i="13"/>
  <c r="C57" i="13" s="1"/>
  <c r="E52" i="13"/>
  <c r="F52" i="13"/>
  <c r="L52" i="13"/>
  <c r="G52" i="13"/>
  <c r="M52" i="13"/>
  <c r="H52" i="13"/>
  <c r="N52" i="13"/>
  <c r="D52" i="13"/>
  <c r="I52" i="13"/>
  <c r="J52" i="13"/>
  <c r="K52" i="13"/>
  <c r="J15" i="17"/>
  <c r="L15" i="17"/>
  <c r="D57" i="13" l="1"/>
  <c r="D56" i="13" s="1"/>
  <c r="C56" i="13"/>
  <c r="N57" i="13"/>
  <c r="N56" i="13" s="1"/>
  <c r="H57" i="13"/>
  <c r="H56" i="13" s="1"/>
  <c r="M57" i="13"/>
  <c r="M56" i="13" s="1"/>
  <c r="G57" i="13"/>
  <c r="G56" i="13" s="1"/>
  <c r="K57" i="13"/>
  <c r="K56" i="13" s="1"/>
  <c r="L57" i="13"/>
  <c r="L56" i="13" s="1"/>
  <c r="J57" i="13"/>
  <c r="J56" i="13" s="1"/>
  <c r="F57" i="13"/>
  <c r="F56" i="13" s="1"/>
  <c r="I57" i="13"/>
  <c r="I56" i="13" s="1"/>
  <c r="E57" i="13"/>
  <c r="E56" i="13" s="1"/>
  <c r="D26" i="26"/>
  <c r="D30" i="26" s="1"/>
  <c r="D36" i="26" s="1"/>
  <c r="D28" i="30"/>
  <c r="D32" i="30" s="1"/>
  <c r="D36" i="30" s="1"/>
  <c r="D38" i="30" s="1"/>
  <c r="C40" i="29"/>
  <c r="O37" i="29"/>
  <c r="P15" i="17"/>
  <c r="E32" i="26" l="1"/>
  <c r="R6" i="30"/>
  <c r="C41" i="29"/>
  <c r="D39" i="29" s="1"/>
  <c r="D40" i="29" s="1"/>
  <c r="D41" i="29" s="1"/>
  <c r="E39" i="29" s="1"/>
  <c r="E40" i="29" s="1"/>
  <c r="E41" i="29" s="1"/>
  <c r="F39" i="29" s="1"/>
  <c r="F40" i="29" s="1"/>
  <c r="F41" i="29" s="1"/>
  <c r="G39" i="29" s="1"/>
  <c r="G40" i="29" s="1"/>
  <c r="G41" i="29" s="1"/>
  <c r="H39" i="29" s="1"/>
  <c r="H40" i="29" s="1"/>
  <c r="H41" i="29" s="1"/>
  <c r="I39" i="29" s="1"/>
  <c r="I40" i="29" s="1"/>
  <c r="I41" i="29" s="1"/>
  <c r="J39" i="29" s="1"/>
  <c r="J40" i="29" s="1"/>
  <c r="J41" i="29" s="1"/>
  <c r="K39" i="29" s="1"/>
  <c r="K40" i="29" s="1"/>
  <c r="K41" i="29" s="1"/>
  <c r="L39" i="29" s="1"/>
  <c r="L40" i="29" s="1"/>
  <c r="L41" i="29" s="1"/>
  <c r="M39" i="29" s="1"/>
  <c r="M40" i="29" s="1"/>
  <c r="M41" i="29" s="1"/>
  <c r="N39" i="29" s="1"/>
  <c r="N40" i="29" s="1"/>
  <c r="N41" i="29" s="1"/>
  <c r="O39" i="29" s="1"/>
  <c r="G12" i="22"/>
  <c r="P61" i="17"/>
  <c r="O61" i="17"/>
  <c r="N61" i="17"/>
  <c r="M61" i="17"/>
  <c r="L61" i="17"/>
  <c r="K61" i="17"/>
  <c r="J61" i="17"/>
  <c r="P44" i="17"/>
  <c r="O44" i="17"/>
  <c r="N44" i="17"/>
  <c r="M44" i="17"/>
  <c r="L44" i="17"/>
  <c r="K44" i="17"/>
  <c r="J44" i="17"/>
  <c r="P26" i="17"/>
  <c r="O26" i="17"/>
  <c r="N26" i="17"/>
  <c r="M26" i="17"/>
  <c r="L26" i="17"/>
  <c r="K26" i="17"/>
  <c r="J26" i="17"/>
  <c r="O15" i="17"/>
  <c r="N15" i="17"/>
  <c r="M15" i="17"/>
  <c r="K15" i="17"/>
  <c r="P85" i="16"/>
  <c r="O85" i="16"/>
  <c r="N85" i="16"/>
  <c r="M85" i="16"/>
  <c r="K85" i="16"/>
  <c r="P62" i="16"/>
  <c r="O62" i="16"/>
  <c r="N62" i="16"/>
  <c r="M62" i="16"/>
  <c r="L62" i="16"/>
  <c r="K62" i="16"/>
  <c r="J62" i="16"/>
  <c r="P43" i="16"/>
  <c r="O43" i="16"/>
  <c r="N43" i="16"/>
  <c r="M43" i="16"/>
  <c r="L43" i="16"/>
  <c r="K43" i="16"/>
  <c r="J43" i="16"/>
  <c r="P25" i="16"/>
  <c r="O25" i="16"/>
  <c r="N25" i="16"/>
  <c r="M25" i="16"/>
  <c r="L25" i="16"/>
  <c r="K25" i="16"/>
  <c r="J25" i="16"/>
  <c r="J84" i="16"/>
  <c r="J85" i="16" s="1"/>
  <c r="O40" i="29" l="1"/>
  <c r="L84" i="16"/>
  <c r="L85" i="16" s="1"/>
  <c r="F16" i="13"/>
  <c r="F17" i="13" s="1"/>
  <c r="H21" i="11" l="1"/>
  <c r="H20" i="11"/>
  <c r="H19" i="11"/>
  <c r="H10" i="11"/>
  <c r="H11" i="11" s="1"/>
  <c r="H12" i="11" s="1"/>
  <c r="C14" i="1" l="1"/>
  <c r="D14" i="1" s="1"/>
  <c r="K60" i="1" l="1"/>
  <c r="K59" i="1"/>
  <c r="K58" i="1"/>
  <c r="P13" i="1" l="1"/>
  <c r="P10" i="1"/>
  <c r="P7" i="1"/>
  <c r="N11" i="2" l="1"/>
  <c r="M11" i="2"/>
  <c r="L11" i="2"/>
  <c r="K11" i="2"/>
  <c r="J11" i="2"/>
  <c r="I11" i="2"/>
  <c r="H11" i="2"/>
  <c r="G11" i="2"/>
  <c r="F11" i="2"/>
  <c r="E11" i="2"/>
  <c r="D11" i="2"/>
  <c r="D15" i="2"/>
  <c r="D22" i="2" s="1"/>
  <c r="D28" i="2" s="1"/>
  <c r="E24" i="2" s="1"/>
  <c r="C28" i="2"/>
  <c r="D24" i="2"/>
  <c r="C22" i="2"/>
  <c r="C15" i="2"/>
  <c r="C11" i="2"/>
  <c r="P8" i="1"/>
  <c r="C8" i="1"/>
  <c r="D8" i="1" s="1"/>
  <c r="E8" i="1" s="1"/>
  <c r="F8" i="1" s="1"/>
  <c r="G8" i="1" s="1"/>
  <c r="H8" i="1" s="1"/>
  <c r="I8" i="1" s="1"/>
  <c r="J8" i="1" s="1"/>
  <c r="K8" i="1" s="1"/>
  <c r="L8" i="1" s="1"/>
  <c r="M8" i="1" s="1"/>
  <c r="N8" i="1" s="1"/>
  <c r="D13" i="2"/>
  <c r="E13" i="2" s="1"/>
  <c r="F13" i="2" s="1"/>
  <c r="E18" i="2"/>
  <c r="F18" i="2" s="1"/>
  <c r="G18" i="2" s="1"/>
  <c r="H18" i="2" s="1"/>
  <c r="I18" i="2" s="1"/>
  <c r="J18" i="2" s="1"/>
  <c r="K18" i="2" s="1"/>
  <c r="L18" i="2" s="1"/>
  <c r="M18" i="2" s="1"/>
  <c r="N18" i="2" s="1"/>
  <c r="D18" i="2"/>
  <c r="E17" i="2"/>
  <c r="F17" i="2" s="1"/>
  <c r="G17" i="2" s="1"/>
  <c r="H17" i="2" s="1"/>
  <c r="I17" i="2" s="1"/>
  <c r="J17" i="2" s="1"/>
  <c r="K17" i="2" s="1"/>
  <c r="L17" i="2" s="1"/>
  <c r="M17" i="2" s="1"/>
  <c r="N17" i="2" s="1"/>
  <c r="D17" i="2"/>
  <c r="D34" i="1"/>
  <c r="E34" i="1" s="1"/>
  <c r="F34" i="1" s="1"/>
  <c r="G34" i="1" s="1"/>
  <c r="H34" i="1" s="1"/>
  <c r="I34" i="1" s="1"/>
  <c r="J34" i="1" s="1"/>
  <c r="K34" i="1" s="1"/>
  <c r="L34" i="1" s="1"/>
  <c r="M34" i="1" s="1"/>
  <c r="N34" i="1" s="1"/>
  <c r="P34" i="1" s="1"/>
  <c r="D16" i="1"/>
  <c r="E16" i="1" s="1"/>
  <c r="F16" i="1" s="1"/>
  <c r="G16" i="1" s="1"/>
  <c r="H16" i="1" s="1"/>
  <c r="I16" i="1" s="1"/>
  <c r="J16" i="1" s="1"/>
  <c r="K16" i="1" s="1"/>
  <c r="L16" i="1" s="1"/>
  <c r="M16" i="1" s="1"/>
  <c r="N16" i="1" s="1"/>
  <c r="G13" i="2" l="1"/>
  <c r="H13" i="2" s="1"/>
  <c r="F15" i="2"/>
  <c r="F22" i="2" s="1"/>
  <c r="E15" i="2"/>
  <c r="E22" i="2" s="1"/>
  <c r="E28" i="2" s="1"/>
  <c r="F24" i="2" s="1"/>
  <c r="G15" i="2"/>
  <c r="F28" i="2" l="1"/>
  <c r="G22" i="2"/>
  <c r="H15" i="2"/>
  <c r="H22" i="2" s="1"/>
  <c r="I13" i="2"/>
  <c r="C18" i="1"/>
  <c r="C28" i="1" l="1"/>
  <c r="C24" i="1" s="1"/>
  <c r="C20" i="1"/>
  <c r="C22" i="1" s="1"/>
  <c r="J13" i="2"/>
  <c r="I15" i="2"/>
  <c r="I22" i="2" s="1"/>
  <c r="D18" i="1"/>
  <c r="C26" i="1" l="1"/>
  <c r="C30" i="1" s="1"/>
  <c r="C36" i="1" s="1"/>
  <c r="D32" i="1" s="1"/>
  <c r="D28" i="1"/>
  <c r="D24" i="1" s="1"/>
  <c r="D20" i="1"/>
  <c r="D22" i="1" s="1"/>
  <c r="K13" i="2"/>
  <c r="J15" i="2"/>
  <c r="J22" i="2" s="1"/>
  <c r="E14" i="1"/>
  <c r="E18" i="1" s="1"/>
  <c r="D26" i="1" l="1"/>
  <c r="D30" i="1" s="1"/>
  <c r="D36" i="1" s="1"/>
  <c r="E32" i="1" s="1"/>
  <c r="E28" i="1"/>
  <c r="E24" i="1" s="1"/>
  <c r="E20" i="1"/>
  <c r="E22" i="1" s="1"/>
  <c r="L13" i="2"/>
  <c r="K15" i="2"/>
  <c r="K22" i="2" s="1"/>
  <c r="F14" i="1"/>
  <c r="F18" i="1" l="1"/>
  <c r="F28" i="1" s="1"/>
  <c r="F24" i="1" s="1"/>
  <c r="G14" i="1"/>
  <c r="H14" i="1" s="1"/>
  <c r="I14" i="1" s="1"/>
  <c r="J14" i="1" s="1"/>
  <c r="K14" i="1" s="1"/>
  <c r="L14" i="1" s="1"/>
  <c r="M14" i="1" s="1"/>
  <c r="N14" i="1" s="1"/>
  <c r="E26" i="1"/>
  <c r="E30" i="1" s="1"/>
  <c r="E36" i="1" s="1"/>
  <c r="F32" i="1" s="1"/>
  <c r="G24" i="2"/>
  <c r="M13" i="2"/>
  <c r="L15" i="2"/>
  <c r="L22" i="2" s="1"/>
  <c r="F20" i="1" l="1"/>
  <c r="F22" i="1" s="1"/>
  <c r="F26" i="1" s="1"/>
  <c r="F30" i="1" s="1"/>
  <c r="F36" i="1" s="1"/>
  <c r="G32" i="1" s="1"/>
  <c r="G18" i="1"/>
  <c r="G20" i="1" s="1"/>
  <c r="G22" i="1" s="1"/>
  <c r="G28" i="2"/>
  <c r="H24" i="2" s="1"/>
  <c r="N13" i="2"/>
  <c r="N15" i="2" s="1"/>
  <c r="N22" i="2" s="1"/>
  <c r="M15" i="2"/>
  <c r="M22" i="2" s="1"/>
  <c r="H18" i="1"/>
  <c r="G28" i="1" l="1"/>
  <c r="G24" i="1" s="1"/>
  <c r="G26" i="1" s="1"/>
  <c r="G30" i="1" s="1"/>
  <c r="G36" i="1" s="1"/>
  <c r="H32" i="1" s="1"/>
  <c r="H28" i="1"/>
  <c r="H24" i="1" s="1"/>
  <c r="H20" i="1"/>
  <c r="H22" i="1" s="1"/>
  <c r="H28" i="2"/>
  <c r="I24" i="2" s="1"/>
  <c r="I28" i="2" s="1"/>
  <c r="J24" i="2" s="1"/>
  <c r="J28" i="2" s="1"/>
  <c r="P11" i="1"/>
  <c r="I18" i="1"/>
  <c r="H26" i="1" l="1"/>
  <c r="H30" i="1" s="1"/>
  <c r="H36" i="1" s="1"/>
  <c r="I32" i="1" s="1"/>
  <c r="I28" i="1"/>
  <c r="I24" i="1" s="1"/>
  <c r="I20" i="1"/>
  <c r="I22" i="1" s="1"/>
  <c r="J18" i="1"/>
  <c r="P12" i="1"/>
  <c r="P14" i="1" s="1"/>
  <c r="I26" i="1" l="1"/>
  <c r="I30" i="1" s="1"/>
  <c r="I36" i="1" s="1"/>
  <c r="J32" i="1" s="1"/>
  <c r="P16" i="1"/>
  <c r="P18" i="1" s="1"/>
  <c r="J20" i="1"/>
  <c r="J22" i="1" s="1"/>
  <c r="J28" i="1"/>
  <c r="J24" i="1" s="1"/>
  <c r="K24" i="2"/>
  <c r="K28" i="2" s="1"/>
  <c r="K18" i="1"/>
  <c r="J26" i="1" l="1"/>
  <c r="J30" i="1" s="1"/>
  <c r="J36" i="1" s="1"/>
  <c r="K32" i="1" s="1"/>
  <c r="P28" i="1"/>
  <c r="P24" i="1" s="1"/>
  <c r="P20" i="1"/>
  <c r="P22" i="1" s="1"/>
  <c r="K28" i="1"/>
  <c r="K24" i="1" s="1"/>
  <c r="K20" i="1"/>
  <c r="K22" i="1" s="1"/>
  <c r="L18" i="1"/>
  <c r="K26" i="1" l="1"/>
  <c r="K30" i="1" s="1"/>
  <c r="K36" i="1" s="1"/>
  <c r="L32" i="1" s="1"/>
  <c r="P26" i="1"/>
  <c r="P30" i="1" s="1"/>
  <c r="L20" i="1"/>
  <c r="L22" i="1" s="1"/>
  <c r="L28" i="1"/>
  <c r="L24" i="1" s="1"/>
  <c r="L24" i="2"/>
  <c r="L28" i="2" s="1"/>
  <c r="M18" i="1"/>
  <c r="L26" i="1" l="1"/>
  <c r="L30" i="1" s="1"/>
  <c r="L36" i="1" s="1"/>
  <c r="M32" i="1" s="1"/>
  <c r="M20" i="1"/>
  <c r="M22" i="1" s="1"/>
  <c r="M28" i="1"/>
  <c r="M24" i="1" s="1"/>
  <c r="M24" i="2"/>
  <c r="N18" i="1"/>
  <c r="M26" i="1" l="1"/>
  <c r="M30" i="1" s="1"/>
  <c r="M36" i="1" s="1"/>
  <c r="N32" i="1" s="1"/>
  <c r="N20" i="1"/>
  <c r="N22" i="1" s="1"/>
  <c r="N28" i="1"/>
  <c r="N24" i="1" s="1"/>
  <c r="M28" i="2"/>
  <c r="N24" i="2" s="1"/>
  <c r="N28" i="2" s="1"/>
  <c r="N26" i="1" l="1"/>
  <c r="N30" i="1" s="1"/>
  <c r="N36" i="1" s="1"/>
  <c r="P32" i="1" l="1"/>
  <c r="P36" i="1" s="1"/>
  <c r="E13" i="26" l="1"/>
  <c r="E14" i="26" l="1"/>
  <c r="E18" i="26" s="1"/>
  <c r="E24" i="26" s="1"/>
  <c r="F13" i="30"/>
  <c r="F14" i="30" s="1"/>
  <c r="F14" i="26" l="1"/>
  <c r="G14" i="26" s="1"/>
  <c r="F16" i="30"/>
  <c r="H18" i="30" s="1"/>
  <c r="F20" i="30"/>
  <c r="E28" i="26"/>
  <c r="E20" i="26"/>
  <c r="E22" i="26" s="1"/>
  <c r="E26" i="26" s="1"/>
  <c r="F18" i="26" l="1"/>
  <c r="F28" i="26" s="1"/>
  <c r="E30" i="26"/>
  <c r="E36" i="26" s="1"/>
  <c r="F32" i="26" s="1"/>
  <c r="F22" i="30"/>
  <c r="F24" i="30" s="1"/>
  <c r="F30" i="30"/>
  <c r="F26" i="30" s="1"/>
  <c r="J18" i="30"/>
  <c r="H20" i="30"/>
  <c r="H14" i="26"/>
  <c r="G18" i="26"/>
  <c r="F20" i="26" l="1"/>
  <c r="F22" i="26" s="1"/>
  <c r="F24" i="26"/>
  <c r="F28" i="30"/>
  <c r="F32" i="30" s="1"/>
  <c r="F36" i="30" s="1"/>
  <c r="F38" i="30" s="1"/>
  <c r="H22" i="30"/>
  <c r="H24" i="30" s="1"/>
  <c r="H30" i="30"/>
  <c r="H26" i="30" s="1"/>
  <c r="J20" i="30"/>
  <c r="L18" i="30"/>
  <c r="G24" i="26"/>
  <c r="G20" i="26"/>
  <c r="G22" i="26" s="1"/>
  <c r="G28" i="26"/>
  <c r="I14" i="26"/>
  <c r="H18" i="26"/>
  <c r="F26" i="26" l="1"/>
  <c r="F30" i="26" s="1"/>
  <c r="F36" i="26" s="1"/>
  <c r="G32" i="26" s="1"/>
  <c r="L20" i="30"/>
  <c r="N18" i="30"/>
  <c r="J30" i="30"/>
  <c r="J26" i="30" s="1"/>
  <c r="J22" i="30"/>
  <c r="J24" i="30" s="1"/>
  <c r="H28" i="30"/>
  <c r="H32" i="30" s="1"/>
  <c r="H36" i="30" s="1"/>
  <c r="H38" i="30" s="1"/>
  <c r="G26" i="26"/>
  <c r="G30" i="26" s="1"/>
  <c r="H24" i="26"/>
  <c r="H28" i="26"/>
  <c r="H20" i="26"/>
  <c r="H22" i="26" s="1"/>
  <c r="I18" i="26"/>
  <c r="J14" i="26"/>
  <c r="H26" i="26" l="1"/>
  <c r="J28" i="30"/>
  <c r="J32" i="30" s="1"/>
  <c r="J36" i="30" s="1"/>
  <c r="J38" i="30" s="1"/>
  <c r="H30" i="26"/>
  <c r="L22" i="30"/>
  <c r="L24" i="30" s="1"/>
  <c r="L30" i="30"/>
  <c r="L26" i="30" s="1"/>
  <c r="G36" i="26"/>
  <c r="H32" i="26" s="1"/>
  <c r="H36" i="26" s="1"/>
  <c r="I32" i="26" s="1"/>
  <c r="I24" i="26"/>
  <c r="I28" i="26"/>
  <c r="I20" i="26"/>
  <c r="I22" i="26" s="1"/>
  <c r="J18" i="26"/>
  <c r="K14" i="26"/>
  <c r="L28" i="30" l="1"/>
  <c r="L32" i="30" s="1"/>
  <c r="L36" i="30" s="1"/>
  <c r="L38" i="30" s="1"/>
  <c r="I26" i="26"/>
  <c r="I30" i="26" s="1"/>
  <c r="I36" i="26" s="1"/>
  <c r="J32" i="26" s="1"/>
  <c r="K18" i="26"/>
  <c r="L14" i="26"/>
  <c r="L18" i="26" s="1"/>
  <c r="J24" i="26"/>
  <c r="J28" i="26"/>
  <c r="J20" i="26"/>
  <c r="J22" i="26" s="1"/>
  <c r="P10" i="26"/>
  <c r="M13" i="26"/>
  <c r="J26" i="26" l="1"/>
  <c r="J30" i="26" s="1"/>
  <c r="J36" i="26" s="1"/>
  <c r="M14" i="26"/>
  <c r="N14" i="26" s="1"/>
  <c r="N18" i="26" s="1"/>
  <c r="N13" i="30"/>
  <c r="N14" i="30" s="1"/>
  <c r="L20" i="26"/>
  <c r="L22" i="26" s="1"/>
  <c r="L28" i="26"/>
  <c r="L24" i="26"/>
  <c r="K28" i="26"/>
  <c r="K20" i="26"/>
  <c r="K22" i="26" s="1"/>
  <c r="K24" i="26"/>
  <c r="M18" i="26"/>
  <c r="P13" i="26"/>
  <c r="P14" i="26" s="1"/>
  <c r="Q14" i="26"/>
  <c r="Q18" i="26" s="1"/>
  <c r="K32" i="26" l="1"/>
  <c r="N16" i="30"/>
  <c r="N20" i="30"/>
  <c r="K26" i="26"/>
  <c r="K30" i="26" s="1"/>
  <c r="L26" i="26"/>
  <c r="L30" i="26" s="1"/>
  <c r="N20" i="26"/>
  <c r="N22" i="26" s="1"/>
  <c r="N24" i="26"/>
  <c r="N28" i="26"/>
  <c r="P16" i="26"/>
  <c r="P18" i="26" s="1"/>
  <c r="M24" i="26"/>
  <c r="M20" i="26"/>
  <c r="M22" i="26" s="1"/>
  <c r="M28" i="26"/>
  <c r="K36" i="26" l="1"/>
  <c r="L32" i="26" s="1"/>
  <c r="L36" i="26" s="1"/>
  <c r="M32" i="26" s="1"/>
  <c r="N30" i="30"/>
  <c r="N26" i="30" s="1"/>
  <c r="N22" i="30"/>
  <c r="N24" i="30" s="1"/>
  <c r="N26" i="26"/>
  <c r="N30" i="26" s="1"/>
  <c r="P28" i="26"/>
  <c r="P24" i="26" s="1"/>
  <c r="P20" i="26"/>
  <c r="P22" i="26" s="1"/>
  <c r="M26" i="26"/>
  <c r="M30" i="26" s="1"/>
  <c r="N28" i="30" l="1"/>
  <c r="N32" i="30" s="1"/>
  <c r="N36" i="30" s="1"/>
  <c r="N38" i="30" s="1"/>
  <c r="O38" i="30" s="1"/>
  <c r="T6" i="30" s="1"/>
  <c r="M36" i="26"/>
  <c r="N32" i="26" s="1"/>
  <c r="N36" i="26" s="1"/>
  <c r="P26" i="26"/>
  <c r="P30" i="26" s="1"/>
  <c r="P32" i="26" l="1"/>
  <c r="P36" i="26" s="1"/>
  <c r="Q36" i="26"/>
  <c r="S6" i="30" s="1"/>
</calcChain>
</file>

<file path=xl/sharedStrings.xml><?xml version="1.0" encoding="utf-8"?>
<sst xmlns="http://schemas.openxmlformats.org/spreadsheetml/2006/main" count="4948" uniqueCount="1574">
  <si>
    <t>PAGOS PROVISIONALES</t>
  </si>
  <si>
    <t>XAXX - 010101 - 000</t>
  </si>
  <si>
    <t>IMPUESTO SOBRE LA RENTA (I.S.R.)</t>
  </si>
  <si>
    <t>ENERO</t>
  </si>
  <si>
    <t>FEBRERO</t>
  </si>
  <si>
    <t>MARZO</t>
  </si>
  <si>
    <t>ABRIL</t>
  </si>
  <si>
    <t>MAYO</t>
  </si>
  <si>
    <t>JUNIO</t>
  </si>
  <si>
    <t>JULIO</t>
  </si>
  <si>
    <t>AGOSTO</t>
  </si>
  <si>
    <t>SEPTIEMBRE</t>
  </si>
  <si>
    <t>OCTUBRE</t>
  </si>
  <si>
    <t>NOVIEMBRE</t>
  </si>
  <si>
    <t>DICIEMBRE</t>
  </si>
  <si>
    <t>DEL EJERCICIO</t>
  </si>
  <si>
    <t>INGRESOS DEL PERIODO</t>
  </si>
  <si>
    <t>INGRESOS ACUMULABLES</t>
  </si>
  <si>
    <t>DEDUCCIONES PERSONALES</t>
  </si>
  <si>
    <t>SUELDOS Y SALARIOS</t>
  </si>
  <si>
    <t xml:space="preserve">DEPRECIACIONES </t>
  </si>
  <si>
    <t>DEDUCCIONES DEL PERIODO</t>
  </si>
  <si>
    <t>TOTAL DE DEDUCCIONES</t>
  </si>
  <si>
    <t>PERIDA FISCAL EJ. ANTES.</t>
  </si>
  <si>
    <t>BASE GRAVABLE</t>
  </si>
  <si>
    <t xml:space="preserve"> - LIMITE INFERIOR</t>
  </si>
  <si>
    <t xml:space="preserve"> = EXCEDENTE S/LIM INF.</t>
  </si>
  <si>
    <t xml:space="preserve"> x % DE TASA</t>
  </si>
  <si>
    <t xml:space="preserve"> = IMPUESTO MARGINAL</t>
  </si>
  <si>
    <t xml:space="preserve"> + CUOTA FIJA</t>
  </si>
  <si>
    <t xml:space="preserve"> = IMPUESTO DETERMINADO</t>
  </si>
  <si>
    <t xml:space="preserve"> - PAGO PROVISIONAL</t>
  </si>
  <si>
    <t xml:space="preserve"> - SUBSIDIO PARA EL EMPLEO</t>
  </si>
  <si>
    <t xml:space="preserve"> - I.S.R. RETENIDO</t>
  </si>
  <si>
    <t xml:space="preserve"> = ISR POR PAGAR</t>
  </si>
  <si>
    <t>Tarifa para el pago provisional del mes de enero de 2018, aplicable a los ingresos que perciban los contribuyentes a que se refiere el Capítulo II, Sección I, del Título IV de la Ley del Impuesto sobre la Renta.</t>
  </si>
  <si>
    <t>Tarifa para el pago provisional del mes de febrero de 2018, aplicable a los ingresos que perciban los contribuyentes a que se refiere el Capítulo II, Sección I, del Título IV de la Ley del Impuesto sobre la Renta.</t>
  </si>
  <si>
    <t>Límite inferior</t>
  </si>
  <si>
    <t>Límite superior</t>
  </si>
  <si>
    <t>Cuota fija</t>
  </si>
  <si>
    <t>Por ciento para aplicarse sobre</t>
  </si>
  <si>
    <t>el excedente del límite inferior</t>
  </si>
  <si>
    <t>$</t>
  </si>
  <si>
    <t>%</t>
  </si>
  <si>
    <t>En adelante</t>
  </si>
  <si>
    <t>Tarifa para el pago provisional del mes de marzo de 2018, aplicable a los ingresos que perciban los contribuyentes a que se refiere el Capítulo II, Sección I, del Título IV de la Ley del Impuesto sobre la Renta.</t>
  </si>
  <si>
    <t>Tarifa para el pago provisional del mes de abril de 2018, aplicable a los ingresos que perciban los contribuyentes a que se refiere el Capítulo II, Sección I, del Título IV de la Ley del Impuesto sobre la Renta.</t>
  </si>
  <si>
    <t>Tarifa para el pago provisional del mes de mayo de 2018, aplicable a los ingresos que perciban los contribuyentes a que se refiere el Capítulo II, Sección I, del Título IV de la Ley del Impuesto sobre la Renta.</t>
  </si>
  <si>
    <t>Tarifa para el pago provisional del mes de junio de 2018, aplicable a los ingresos que perciban los contribuyentes a que se refiere el Capítulo II, Sección I, del Título IV de la Ley del Impuesto sobre la Renta.</t>
  </si>
  <si>
    <t>Tarifa para el pago provisional del mes de julio de 2018, aplicable a los ingresos que perciban los contribuyentes a que se refiere el Capítulo II, Sección I, del Título IV de la Ley del Impuesto sobre la Renta.</t>
  </si>
  <si>
    <t>Tarifa para el pago provisional del mes de agosto de 2018, aplicable a los ingresos que perciban los contribuyentes a que se refiere el Capítulo II, Sección I, del Título IV de la Ley del Impuesto sobre la Renta.</t>
  </si>
  <si>
    <t>Tarifa para el pago provisional del mes de septiembre de 2018, aplicable a los ingresos que perciban los contribuyentes a que se refiere el Capítulo II, Sección I, del Título IV de la Ley del Impuesto sobre la Renta.</t>
  </si>
  <si>
    <t>Tarifa para el pago provisional del mes de octubre de 2018, aplicable a los ingresos que perciban los contribuyentes a que se refiere el Capítulo II, Sección I, del Título IV de la Ley del Impuesto sobre la Renta.</t>
  </si>
  <si>
    <t>Tarifa para el pago provisional del mes de noviembre de 2018, aplicable a los ingresos que perciban los contribuyentes a que se refiere el Capítulo II, Sección I, del Título IV de la Ley del Impuesto sobre la Renta.</t>
  </si>
  <si>
    <t>Tarifa para el pago provisional del mes de diciembre de 2018, aplicable a los ingresos que perciban los contribuyentes a que se refiere el Capítulo II, Sección I, del Título IV de la Ley del Impuesto sobre la Renta.</t>
  </si>
  <si>
    <t>Ingresos del Periodo</t>
  </si>
  <si>
    <t xml:space="preserve">Coeficiente de Utilidad </t>
  </si>
  <si>
    <t>BASE DE IMPUESTO</t>
  </si>
  <si>
    <t>Perdida Fiscal de Ejercicios Anteriores</t>
  </si>
  <si>
    <t>PTU Pagado en el Ejercicio</t>
  </si>
  <si>
    <t>IMPUESTO CAUSADO</t>
  </si>
  <si>
    <t>Pagos Provisionales Efectuados en el Ejercicio</t>
  </si>
  <si>
    <t>ISR Retenido</t>
  </si>
  <si>
    <t>Subsidio Para El Empleo</t>
  </si>
  <si>
    <t>Tasa de I.S.R.</t>
  </si>
  <si>
    <t xml:space="preserve"> </t>
  </si>
  <si>
    <t>Cta. Ing. X Vta</t>
  </si>
  <si>
    <t>Concepto</t>
  </si>
  <si>
    <t>Ene</t>
  </si>
  <si>
    <t>Feb</t>
  </si>
  <si>
    <t>Mar</t>
  </si>
  <si>
    <t>Abr</t>
  </si>
  <si>
    <t>May</t>
  </si>
  <si>
    <t>Jun</t>
  </si>
  <si>
    <t>Jul</t>
  </si>
  <si>
    <t>Ago</t>
  </si>
  <si>
    <t>Sep</t>
  </si>
  <si>
    <t>Oct</t>
  </si>
  <si>
    <t>Nov</t>
  </si>
  <si>
    <t>Dic</t>
  </si>
  <si>
    <t>TOTAL</t>
  </si>
  <si>
    <t>IVA CAUSADO</t>
  </si>
  <si>
    <t>Ingresos Gravados al 0%</t>
  </si>
  <si>
    <t>Ingresos Exentos</t>
  </si>
  <si>
    <t>Ingresos Gravados al 15%</t>
  </si>
  <si>
    <t>Ingresos Gravados al 10%</t>
  </si>
  <si>
    <t>Otras Bases</t>
  </si>
  <si>
    <t>Total Ingresos</t>
  </si>
  <si>
    <t>IVA trasladado al 16%</t>
  </si>
  <si>
    <t>IVA Retenido</t>
  </si>
  <si>
    <t>Total IVA Trasladado</t>
  </si>
  <si>
    <t>IVA ACREDITABLE</t>
  </si>
  <si>
    <t>Base gravable al 16%</t>
  </si>
  <si>
    <t>Base gravable al 0%</t>
  </si>
  <si>
    <t>Base gravable exenta</t>
  </si>
  <si>
    <t>Total Base IVA Acreditable</t>
  </si>
  <si>
    <t>IVA Acreditable al 16%</t>
  </si>
  <si>
    <t>Total IVA Acreditable</t>
  </si>
  <si>
    <t>Determinación del IVA</t>
  </si>
  <si>
    <t>IVA a cargo del periodo</t>
  </si>
  <si>
    <t>IVA a favor del periodo</t>
  </si>
  <si>
    <t>IVA pendiente por acreditar</t>
  </si>
  <si>
    <t xml:space="preserve">IVA a cargo   </t>
  </si>
  <si>
    <t>Base gravable al 8%</t>
  </si>
  <si>
    <t>IVA Acreditable al 8%</t>
  </si>
  <si>
    <t xml:space="preserve">REGIMEN DE PERSONAS FISICAS CON ACTIVIDADES EMPRESARIALES Y PROFESIONALES </t>
  </si>
  <si>
    <t>Tarifa para el pago provisional del mes de enero de 2020, aplicable a los ingresos que perciban los contribuyentes a que se refiere el Capítulo II, Sección I, del Título IV de la Ley del Impuesto sobre la Renta.</t>
  </si>
  <si>
    <t>Tarifa para el pago provisional del mes de febrero de 2020, aplicable a los ingresos que perciban los contribuyentes a que se refiere el Capítulo II, Sección I, del Título IV de la Ley del Impuesto sobre la Renta.</t>
  </si>
  <si>
    <t>ISR</t>
  </si>
  <si>
    <t xml:space="preserve">IVA </t>
  </si>
  <si>
    <t>MONTERREY</t>
  </si>
  <si>
    <t>LUIS DIDI</t>
  </si>
  <si>
    <t>Tarifa para el pago provisional del mes de julio de 2020, aplicable a los ingresos que perciban los contribuyentes a que se refiere el Capítulo II, Sección I, del Título IV de la Ley del Impuesto sobre la Renta.</t>
  </si>
  <si>
    <t>Tarifa para el pago provisional del mes de agosto de 2020, aplicable a los ingresos que perciban los contribuyentes a que se refiere el Capítulo II, Sección I, del Título IV de la Ley del Impuesto sobre la Renta.</t>
  </si>
  <si>
    <t>Tarifa para el pago provisional del mes de septiembre de 2020, aplicable a los ingresos que perciban los contribuyentes a que se refiere el Capítulo II, Sección I, del Título IV de la Ley del Impuesto sobre la Renta.</t>
  </si>
  <si>
    <t>Tarifa para el pago provisional del mes de octubre de 2020, aplicable a los ingresos que perciban los contribuyentes a que se refiere el Capítulo II, Sección I, del Título IV de la Ley del Impuesto sobre la Renta.</t>
  </si>
  <si>
    <t>Tarifa para el pago provisional del mes de noviembre de 2020, aplicable a los ingresos que perciban los contribuyentes a que se refiere el Capítulo II, Sección I, del Título IV de la Ley del Impuesto sobre la Renta.</t>
  </si>
  <si>
    <t>Tarifa para el pago provisional del mes de diciembre de 2020, aplicable a los ingresos que perciban los contribuyentes a que se refiere el Capítulo II, Sección I, del Título IV de la Ley del Impuesto sobre la Renta.</t>
  </si>
  <si>
    <t>Tarifa para el pago provisional del mes de marzo de 2020, aplicable a los ingresos que perciban los contribuyentes a que se refiere el Capítulo II, Sección I, del Título IV de la Ley del Impuesto sobre la Renta.</t>
  </si>
  <si>
    <t>Tarifa para el pago provisional del mes de abril de 2020, aplicable a los ingresos que perciban los contribuyentes a que se refiere el Capítulo II, Sección I, del Título IV de la Ley del Impuesto sobre la Renta.</t>
  </si>
  <si>
    <t>Tarifa para el pago provisional del mes de junio de 2020, aplicable a los ingresos que perciban los contribuyentes a que se refiere el Capítulo II, Sección I, del Título IV de la Ley del Impuesto sobre la Renta.</t>
  </si>
  <si>
    <t>Tarifa para el pago provisional del mes de mayo de 2020, aplicable a los ingresos que perciban los contribuyentes a que se refiere el Capítulo II, Sección I, del Título IV de la Ley del Impuesto sobre la Renta.</t>
  </si>
  <si>
    <t>IVA trasladado al 16 efectivo %</t>
  </si>
  <si>
    <t>I. TRATANDOSE DE PRESTACION DE SERVICIOS DE TRANSPORTE TERRESTRE DE PASAJEROS Y DE ENTREGA DE BIENES</t>
  </si>
  <si>
    <t>IVA 8%</t>
  </si>
  <si>
    <t>% RETENCION</t>
  </si>
  <si>
    <t>RETENCION</t>
  </si>
  <si>
    <t>TOTAL NETO</t>
  </si>
  <si>
    <t>INGRESO DIARIO</t>
  </si>
  <si>
    <t xml:space="preserve">III. TRATANDOSE DE ENAJENACION DE BIENES Y PRESTACION DE SERVICIOS </t>
  </si>
  <si>
    <t xml:space="preserve">I.tratandose de prestacion de servicios de transportes terrestre de pasaJeros y de entrega de bienes </t>
  </si>
  <si>
    <t>MONTO DEL INGRESO MENSUAL</t>
  </si>
  <si>
    <t xml:space="preserve">TASA DE RETENCION </t>
  </si>
  <si>
    <t>HASTA</t>
  </si>
  <si>
    <t>MAS</t>
  </si>
  <si>
    <t>INGRESOS MENSUALES</t>
  </si>
  <si>
    <t>RETENCION ISR ART113 A FRACCION I</t>
  </si>
  <si>
    <t>APLICATIVO SAT ISR</t>
  </si>
  <si>
    <t>INGRESOS TOTALES</t>
  </si>
  <si>
    <t>ISR A CARGO</t>
  </si>
  <si>
    <t>Rfc Emisor</t>
  </si>
  <si>
    <t>Nombre Emisor</t>
  </si>
  <si>
    <t>Rfc Receptor</t>
  </si>
  <si>
    <t>Nombre Receptor</t>
  </si>
  <si>
    <t>Tipo</t>
  </si>
  <si>
    <t>Serie</t>
  </si>
  <si>
    <t>Folio</t>
  </si>
  <si>
    <t>Fecha</t>
  </si>
  <si>
    <t>Sub Total</t>
  </si>
  <si>
    <t>Total</t>
  </si>
  <si>
    <t>CFDI</t>
  </si>
  <si>
    <t>D</t>
  </si>
  <si>
    <t>UPM191014S31</t>
  </si>
  <si>
    <t>MAGA961206BL6</t>
  </si>
  <si>
    <t>XML</t>
  </si>
  <si>
    <t>Descuento</t>
  </si>
  <si>
    <t>Total impuesto Trasladado</t>
  </si>
  <si>
    <t>Nombre Impuesto</t>
  </si>
  <si>
    <t>Total impuesto Retenido</t>
  </si>
  <si>
    <t>UUID</t>
  </si>
  <si>
    <t>Método de Pago</t>
  </si>
  <si>
    <t>Forma de Pago</t>
  </si>
  <si>
    <t>Moneda</t>
  </si>
  <si>
    <t>Tipo de Cambio</t>
  </si>
  <si>
    <t>Versión</t>
  </si>
  <si>
    <t>Uso CFDI</t>
  </si>
  <si>
    <t>Régimen Fiscal</t>
  </si>
  <si>
    <t>Estado</t>
  </si>
  <si>
    <t>Estatus</t>
  </si>
  <si>
    <t>Conceptos</t>
  </si>
  <si>
    <t>Traslado IVA 16 %</t>
  </si>
  <si>
    <t>073AFE30-D1DF-4877-BBFF-23FE93DBE039.xml</t>
  </si>
  <si>
    <t>ALAN FERNANDO MACIAS GONZALEZ</t>
  </si>
  <si>
    <t>APS0312108B5</t>
  </si>
  <si>
    <t>AMSA PRESTADORA DE SERVICIOS SA DE CV</t>
  </si>
  <si>
    <t>ingreso</t>
  </si>
  <si>
    <t>VXIMOO-I</t>
  </si>
  <si>
    <t>8</t>
  </si>
  <si>
    <t>2020-06-06T17:36:36</t>
  </si>
  <si>
    <t>002 - IVA</t>
  </si>
  <si>
    <t>073AFE30-D1DF-4877-BBFF-23FE93DBE039</t>
  </si>
  <si>
    <t>PUE - Pago en una sola exhibición</t>
  </si>
  <si>
    <t>04 - Tarjetas de crédito</t>
  </si>
  <si>
    <t>MXN</t>
  </si>
  <si>
    <t>3.3</t>
  </si>
  <si>
    <t>G03 - Gastos en general</t>
  </si>
  <si>
    <t>Incorporación Fiscal</t>
  </si>
  <si>
    <t xml:space="preserve">Cantidad : 1  valorUnitario : 25.00  Importe : 25.00  Descripción : Servicios de mensajería en bicicleta o motocicleta. Servicio independiente de entrega de alimentos preparados, a través de la aplicación UberEats_x000D_
</t>
  </si>
  <si>
    <t>16FEB0BD-D884-4BDB-A4DA-A66719C4841F.xml</t>
  </si>
  <si>
    <t>BSM970519DU8</t>
  </si>
  <si>
    <t>BANCO SANTANDER MEXICO S.A., INSTITUCIÓN DE BANCA MÚLTIPLE GRUPO FINANCIERO SANTANDER MEXICO</t>
  </si>
  <si>
    <t>20</t>
  </si>
  <si>
    <t>2020-06-21T17:22:00</t>
  </si>
  <si>
    <t>16FEB0BD-D884-4BDB-A4DA-A66719C4841F</t>
  </si>
  <si>
    <t>06 - Dinero electrónico</t>
  </si>
  <si>
    <t xml:space="preserve">Cantidad : 1  valorUnitario : 18.10  Importe : 18.10  Descripción : Servicios de mensajería en bicicleta o motocicleta. Servicio independiente de entrega de alimentos preparados, a través de la aplicación UberEats_x000D_
</t>
  </si>
  <si>
    <t>1EC9A097-B2C9-4BB3-941A-05F135696E3D.xml</t>
  </si>
  <si>
    <t>UBER PORTIER MÉXICO, S. DE R.L. DE C.V.</t>
  </si>
  <si>
    <t>23</t>
  </si>
  <si>
    <t>2020-06-22T19:56:44</t>
  </si>
  <si>
    <t>1EC9A097-B2C9-4BB3-941A-05F135696E3D</t>
  </si>
  <si>
    <t>03 - Transferencia electrónica de fondos</t>
  </si>
  <si>
    <t xml:space="preserve">Cantidad : 1  valorUnitario : 412.47  Importe : 412.47  Descripción : Marketing fee 15 jun. 2020 - 21 jun. 2020_x000D_
</t>
  </si>
  <si>
    <t>3574D257-BE3C-4B79-A166-9F7C02160A5C.xml</t>
  </si>
  <si>
    <t>IVE180221FM9</t>
  </si>
  <si>
    <t>INSIGNIA VINCULACION ESTRATEGOCA</t>
  </si>
  <si>
    <t>22</t>
  </si>
  <si>
    <t>2020-06-21T19:31:23</t>
  </si>
  <si>
    <t>3574D257-BE3C-4B79-A166-9F7C02160A5C</t>
  </si>
  <si>
    <t xml:space="preserve">Cantidad : 1  valorUnitario : 31.90  Importe : 31.90  Descripción : Servicios de mensajería en bicicleta o motocicleta. Servicio independiente de entrega de alimentos preparados, a través de la aplicación UberEats_x000D_
</t>
  </si>
  <si>
    <t>3D805E4C-7A83-4E58-ABDF-7323A59D025C.xml</t>
  </si>
  <si>
    <t>RIZA860223517</t>
  </si>
  <si>
    <t>ADRIANA PAOLA RIVERA ZAVALA</t>
  </si>
  <si>
    <t>14</t>
  </si>
  <si>
    <t>2020-06-16T14:01:58</t>
  </si>
  <si>
    <t>3D805E4C-7A83-4E58-ABDF-7323A59D025C</t>
  </si>
  <si>
    <t>28 - Tarjeta de Débito</t>
  </si>
  <si>
    <t xml:space="preserve">Cantidad : 1  valorUnitario : 26.72  Importe : 26.72  Descripción : Servicios de mensajería en bicicleta o motocicleta. Servicio independiente de entrega de alimentos preparados, a través de la aplicación UberEats_x000D_
</t>
  </si>
  <si>
    <t>415B676F-47DA-4CD8-969B-72572E69963B.xml</t>
  </si>
  <si>
    <t>SDO180524BQ3</t>
  </si>
  <si>
    <t>SUMINISTROS DOKKAN SAS</t>
  </si>
  <si>
    <t>25</t>
  </si>
  <si>
    <t>2020-06-26T23:09:11</t>
  </si>
  <si>
    <t>415B676F-47DA-4CD8-969B-72572E69963B</t>
  </si>
  <si>
    <t xml:space="preserve">Cantidad : 1  valorUnitario : 23.28  Importe : 23.28  Descripción : Servicios de mensajería en bicicleta o motocicleta. Servicio independiente de entrega de alimentos preparados, a través de la aplicación UberEats_x000D_
</t>
  </si>
  <si>
    <t>61294967-1CF2-4FAF-84B7-BE5DDB4FA9D4.xml</t>
  </si>
  <si>
    <t>DEX140217FH2</t>
  </si>
  <si>
    <t>DEBUG EXPERTS, S.A. DE C.V.</t>
  </si>
  <si>
    <t>16</t>
  </si>
  <si>
    <t>2020-06-18T13:28:47</t>
  </si>
  <si>
    <t>61294967-1CF2-4FAF-84B7-BE5DDB4FA9D4</t>
  </si>
  <si>
    <t>62C58715-4AC5-43CA-9876-B558025CA0E9.xml</t>
  </si>
  <si>
    <t>BIM850201QI0</t>
  </si>
  <si>
    <t>IPSOS SA DE CV</t>
  </si>
  <si>
    <t>6</t>
  </si>
  <si>
    <t>2020-06-05T17:56:12</t>
  </si>
  <si>
    <t>62C58715-4AC5-43CA-9876-B558025CA0E9</t>
  </si>
  <si>
    <t xml:space="preserve">Cantidad : 1  valorUnitario : 30.17  Importe : 30.17  Descripción : Servicios de mensajería en bicicleta o motocicleta. Servicio independiente de entrega de alimentos preparados, a través de la aplicación UberEats_x000D_
</t>
  </si>
  <si>
    <t>63246025-2C85-4197-827D-EFCF6636AD72.xml</t>
  </si>
  <si>
    <t>SAM951123978</t>
  </si>
  <si>
    <t>SANOFI AVENTIS DE MEXICO SA DE CV</t>
  </si>
  <si>
    <t>21</t>
  </si>
  <si>
    <t>2020-06-21T18:12:27</t>
  </si>
  <si>
    <t>63246025-2C85-4197-827D-EFCF6636AD72</t>
  </si>
  <si>
    <t xml:space="preserve">Cantidad : 1  valorUnitario : 19.83  Importe : 19.83  Descripción : Servicios de mensajería en bicicleta o motocicleta. Servicio independiente de entrega de alimentos preparados, a través de la aplicación UberEats_x000D_
</t>
  </si>
  <si>
    <t>6CC01B00-E245-4D0C-8867-72462B037F2E.xml</t>
  </si>
  <si>
    <t>PME780907754</t>
  </si>
  <si>
    <t>PANASONIC DE MEXICO SA DE CV</t>
  </si>
  <si>
    <t>18</t>
  </si>
  <si>
    <t>2020-06-19T14:16:04</t>
  </si>
  <si>
    <t>6CC01B00-E245-4D0C-8867-72462B037F2E</t>
  </si>
  <si>
    <t xml:space="preserve">Cantidad : 1  valorUnitario : 21.55  Importe : 21.55  Descripción : Servicios de mensajería en bicicleta o motocicleta. Servicio independiente de entrega de alimentos preparados, a través de la aplicación UberEats_x000D_
</t>
  </si>
  <si>
    <t>73703BBD-7B36-482C-9B61-CDE27EBAF45F.xml</t>
  </si>
  <si>
    <t>4</t>
  </si>
  <si>
    <t>2020-06-01T20:25:03</t>
  </si>
  <si>
    <t>73703BBD-7B36-482C-9B61-CDE27EBAF45F</t>
  </si>
  <si>
    <t xml:space="preserve">Cantidad : 1  valorUnitario : 173.31  Importe : 173.31  Descripción : Marketing fee 25 may. 2020 - 31 may. 2020_x000D_
</t>
  </si>
  <si>
    <t>7982DB74-BD99-4C04-9109-5C371CF8D33C.xml</t>
  </si>
  <si>
    <t>CAGM760206RL1</t>
  </si>
  <si>
    <t>MARGARITA CASILLAS GOMEZ</t>
  </si>
  <si>
    <t>24</t>
  </si>
  <si>
    <t>2020-06-25T19:59:04</t>
  </si>
  <si>
    <t>7982DB74-BD99-4C04-9109-5C371CF8D33C</t>
  </si>
  <si>
    <t>7E30CD2C-D859-46CE-9C97-6E2B0EEB04DB.xml</t>
  </si>
  <si>
    <t>IMS421231I45</t>
  </si>
  <si>
    <t>INSTITUTO MEXICANO DEL SEGURO SOCIAL</t>
  </si>
  <si>
    <t>12</t>
  </si>
  <si>
    <t>2020-06-13T22:20:37</t>
  </si>
  <si>
    <t>7E30CD2C-D859-46CE-9C97-6E2B0EEB04DB</t>
  </si>
  <si>
    <t>A786CE01-4C07-43E3-A16D-B95D0F4E914B.xml</t>
  </si>
  <si>
    <t>9</t>
  </si>
  <si>
    <t>2020-06-08T19:24:42</t>
  </si>
  <si>
    <t>A786CE01-4C07-43E3-A16D-B95D0F4E914B</t>
  </si>
  <si>
    <t xml:space="preserve">Cantidad : 1  valorUnitario : 390.99  Importe : 390.99  Descripción : Marketing fee 1 jun. 2020 - 7 jun. 2020_x000D_
</t>
  </si>
  <si>
    <t>B377E374-B4B7-4231-93D6-4199224CA9F4.xml</t>
  </si>
  <si>
    <t>EAS061213E53</t>
  </si>
  <si>
    <t>EIKOS AGENTE DE SEGUROS Y DE FIANZAS S.A. DE C.V.</t>
  </si>
  <si>
    <t>15</t>
  </si>
  <si>
    <t>2020-06-16T21:34:05</t>
  </si>
  <si>
    <t>B377E374-B4B7-4231-93D6-4199224CA9F4</t>
  </si>
  <si>
    <t>BF804A6E-189A-40BF-94DF-FA41352D60A7.xml</t>
  </si>
  <si>
    <t>GUMN890619HS4</t>
  </si>
  <si>
    <t>NANCY BERENICE GUZMÁN MARTÍNEZ</t>
  </si>
  <si>
    <t>5</t>
  </si>
  <si>
    <t>2020-06-05T13:54:22</t>
  </si>
  <si>
    <t>BF804A6E-189A-40BF-94DF-FA41352D60A7</t>
  </si>
  <si>
    <t xml:space="preserve">Cantidad : 1  valorUnitario : 16.38  Importe : 16.38  Descripción : Servicios de mensajería en bicicleta o motocicleta. Servicio independiente de entrega de alimentos preparados, a través de la aplicación UberEats_x000D_
</t>
  </si>
  <si>
    <t>C6304B9B-254F-4D25-8FCB-67D205292477.xml</t>
  </si>
  <si>
    <t>CME9701212I4</t>
  </si>
  <si>
    <t>CAPGEMINI MÉXICO S. DE R.L. DE C.V.</t>
  </si>
  <si>
    <t>7</t>
  </si>
  <si>
    <t>2020-06-06T13:19:36</t>
  </si>
  <si>
    <t>C6304B9B-254F-4D25-8FCB-67D205292477</t>
  </si>
  <si>
    <t xml:space="preserve">Cantidad : 1  valorUnitario : 37.07  Importe : 37.07  Descripción : Servicios de mensajería en bicicleta o motocicleta. Servicio independiente de entrega de alimentos preparados, a través de la aplicación UberEats_x000D_
</t>
  </si>
  <si>
    <t>CB28C1AD-4E93-48E4-BB28-CDDCDAF07C51.xml</t>
  </si>
  <si>
    <t>IIC930329BG5</t>
  </si>
  <si>
    <t>INSTITUTO INTERAMERICANO DE COOPERACION PARA LA AGRICULTURA</t>
  </si>
  <si>
    <t>11</t>
  </si>
  <si>
    <t>2020-06-10T15:57:11</t>
  </si>
  <si>
    <t>CB28C1AD-4E93-48E4-BB28-CDDCDAF07C51</t>
  </si>
  <si>
    <t>D55E9510-67CB-4518-98AA-1195C2C7DC2D.xml</t>
  </si>
  <si>
    <t>FBC0702063M9</t>
  </si>
  <si>
    <t>FULLER BEAUTY COSMETICS DE MEXICO S DE RL DE CV</t>
  </si>
  <si>
    <t>17</t>
  </si>
  <si>
    <t>2020-06-19T13:29:52</t>
  </si>
  <si>
    <t>D55E9510-67CB-4518-98AA-1195C2C7DC2D</t>
  </si>
  <si>
    <t>DC350130-0476-448C-84BF-53142A85813A.xml</t>
  </si>
  <si>
    <t>SER030331H6A</t>
  </si>
  <si>
    <t>SERFINCOR S.A. DE C.V.</t>
  </si>
  <si>
    <t>26</t>
  </si>
  <si>
    <t>2020-06-27T20:49:38</t>
  </si>
  <si>
    <t>DC350130-0476-448C-84BF-53142A85813A</t>
  </si>
  <si>
    <t>DDF2BE4D-AEFA-49B2-ADD6-474EB73C7C4F.xml</t>
  </si>
  <si>
    <t>13</t>
  </si>
  <si>
    <t>2020-06-15T20:15:29</t>
  </si>
  <si>
    <t>DDF2BE4D-AEFA-49B2-ADD6-474EB73C7C4F</t>
  </si>
  <si>
    <t xml:space="preserve">Cantidad : 1  valorUnitario : 406.80  Importe : 406.80  Descripción : Marketing fee 8 jun. 2020 - 14 jun. 2020_x000D_
</t>
  </si>
  <si>
    <t>DF77DA91-587A-4BA0-B763-FF5A56EFA6F7.xml</t>
  </si>
  <si>
    <t>DF77DA91-587A-4BA0-B763-FF5A56EFA6F7</t>
  </si>
  <si>
    <t>1B5E5152-DB6B-492C-9751-8F00CE8E84ED.xml</t>
  </si>
  <si>
    <t>39</t>
  </si>
  <si>
    <t>2020-07-27T19:39:05</t>
  </si>
  <si>
    <t>1B5E5152-DB6B-492C-9751-8F00CE8E84ED</t>
  </si>
  <si>
    <t xml:space="preserve">Cantidad : 1  valorUnitario : 178.40  Importe : 178.40  Descripción : Marketing fee 20 jul. 2020 - 26 jul. 2020_x000D_
</t>
  </si>
  <si>
    <t>21525D17-DB67-4CB9-B439-4DFBDFFD54A1.xml</t>
  </si>
  <si>
    <t>RUME580502V2A</t>
  </si>
  <si>
    <t>MARIA EUGENIA RUIZ MENDOZA</t>
  </si>
  <si>
    <t>30</t>
  </si>
  <si>
    <t>2020-07-11T14:59:21</t>
  </si>
  <si>
    <t>21525D17-DB67-4CB9-B439-4DFBDFFD54A1</t>
  </si>
  <si>
    <t>2156A032-E02C-444F-B4C1-5F7B4B4910EF.xml</t>
  </si>
  <si>
    <t>37</t>
  </si>
  <si>
    <t>2020-07-20T20:31:44</t>
  </si>
  <si>
    <t>2156A032-E02C-444F-B4C1-5F7B4B4910EF</t>
  </si>
  <si>
    <t xml:space="preserve">Cantidad : 1  valorUnitario : 175.65  Importe : 175.65  Descripción : Marketing fee 13 jul. 2020 - 19 jul. 2020_x000D_
</t>
  </si>
  <si>
    <t>4B7ED4B8-0734-4BC7-8880-D23EB7F85B54.xml</t>
  </si>
  <si>
    <t>CNO960801876</t>
  </si>
  <si>
    <t>CORPORACION NOVAIMAGEN S DE RL DE CV</t>
  </si>
  <si>
    <t>27</t>
  </si>
  <si>
    <t>2020-07-05T16:09:24</t>
  </si>
  <si>
    <t>4B7ED4B8-0734-4BC7-8880-D23EB7F85B54</t>
  </si>
  <si>
    <t>6040B0A3-BE39-4DB7-A788-5C2991B1EA0F.xml</t>
  </si>
  <si>
    <t>BNC8507311M4</t>
  </si>
  <si>
    <t>BANCO NACIONAL DE COMERCIO EXTERIOR, S.N.C</t>
  </si>
  <si>
    <t>36</t>
  </si>
  <si>
    <t>2020-07-19T16:28:54</t>
  </si>
  <si>
    <t>6040B0A3-BE39-4DB7-A788-5C2991B1EA0F</t>
  </si>
  <si>
    <t>6E62B1DD-03CC-481A-81BF-95FFCFFF045D.xml</t>
  </si>
  <si>
    <t>29</t>
  </si>
  <si>
    <t>2020-07-06T20:56:40</t>
  </si>
  <si>
    <t>6E62B1DD-03CC-481A-81BF-95FFCFFF045D</t>
  </si>
  <si>
    <t xml:space="preserve">Cantidad : 1  valorUnitario : 210.79  Importe : 210.79  Descripción : Marketing fee 29 jun. 2020 - 5 jul. 2020_x000D_
</t>
  </si>
  <si>
    <t>76E26EF8-93FF-4C92-AA06-679244094812.xml</t>
  </si>
  <si>
    <t>RAS150713359</t>
  </si>
  <si>
    <t>ROH AUTOMATION SYSTEMS S DE R.L DE C.V</t>
  </si>
  <si>
    <t>33</t>
  </si>
  <si>
    <t>2020-07-12T12:34:02</t>
  </si>
  <si>
    <t>76E26EF8-93FF-4C92-AA06-679244094812</t>
  </si>
  <si>
    <t xml:space="preserve">Cantidad : 1  valorUnitario : 33.62  Importe : 33.62  Descripción : Servicios de mensajería en bicicleta o motocicleta. Servicio independiente de entrega de alimentos preparados, a través de la aplicación UberEats_x000D_
</t>
  </si>
  <si>
    <t>7C848145-A309-4E2F-AE3E-3ED21AD45D84.xml</t>
  </si>
  <si>
    <t>RSM081006710</t>
  </si>
  <si>
    <t>RSMX SERVICES DE MEXICO S DE RL DE CV</t>
  </si>
  <si>
    <t>34</t>
  </si>
  <si>
    <t>2020-07-12T14:00:18</t>
  </si>
  <si>
    <t>7C848145-A309-4E2F-AE3E-3ED21AD45D84</t>
  </si>
  <si>
    <t>950F444F-A27E-4AAA-B683-B90BC5D3C672.xml</t>
  </si>
  <si>
    <t>CLO021212BP4</t>
  </si>
  <si>
    <t>CAPITAL LOGISTICS SA DE CV</t>
  </si>
  <si>
    <t>32</t>
  </si>
  <si>
    <t>2020-07-11T21:08:40</t>
  </si>
  <si>
    <t>950F444F-A27E-4AAA-B683-B90BC5D3C672</t>
  </si>
  <si>
    <t>C5EFF8B3-2841-46D3-A23C-02E840747FB2.xml</t>
  </si>
  <si>
    <t>HEOA780120KW1</t>
  </si>
  <si>
    <t>ANDRÉS HERNÁNDEZ ORTIZ</t>
  </si>
  <si>
    <t>38</t>
  </si>
  <si>
    <t>2020-07-26T21:59:24</t>
  </si>
  <si>
    <t>C5EFF8B3-2841-46D3-A23C-02E840747FB2</t>
  </si>
  <si>
    <t>DE9FB98A-03BB-41DF-9544-4588E9564FD8.xml</t>
  </si>
  <si>
    <t>35</t>
  </si>
  <si>
    <t>2020-07-16T11:09:07</t>
  </si>
  <si>
    <t>DE9FB98A-03BB-41DF-9544-4588E9564FD8</t>
  </si>
  <si>
    <t xml:space="preserve">Cantidad : 1  valorUnitario : 117.24  Importe : 117.24  Descripción : Marketing fee 6 jul. 2020 - 12 jul. 2020_x000D_
</t>
  </si>
  <si>
    <t>F2B53218-3243-4AA9-9D63-FB48EC2CD368.xml</t>
  </si>
  <si>
    <t>28</t>
  </si>
  <si>
    <t>2020-07-06T04:05:46</t>
  </si>
  <si>
    <t>F2B53218-3243-4AA9-9D63-FB48EC2CD368</t>
  </si>
  <si>
    <t xml:space="preserve">Cantidad : 1  valorUnitario : 261.05  Importe : 261.05  Descripción : Marketing fee 22 jun. 2020 - 28 jun. 2020_x000D_
</t>
  </si>
  <si>
    <t>F64B1AFC-5504-43F0-9F83-98D065EB47D0.xml</t>
  </si>
  <si>
    <t>DLD1610132TA</t>
  </si>
  <si>
    <t>DUCO LABORATORIO DE DISEÑO S.A. DE C.V.</t>
  </si>
  <si>
    <t>31</t>
  </si>
  <si>
    <t>2020-07-11T18:00:03</t>
  </si>
  <si>
    <t>F64B1AFC-5504-43F0-9F83-98D065EB47D0</t>
  </si>
  <si>
    <t>1B40CBA1-0464-4E1E-9E9F-2A39B130392D.xml</t>
  </si>
  <si>
    <t>DICM850101KI2</t>
  </si>
  <si>
    <t>MARIANA DÍAZ CUEVAS</t>
  </si>
  <si>
    <t>50</t>
  </si>
  <si>
    <t>2020-08-22T18:35:37</t>
  </si>
  <si>
    <t>1B40CBA1-0464-4E1E-9E9F-2A39B130392D</t>
  </si>
  <si>
    <t xml:space="preserve">Cantidad : 1  valorUnitario : 28.45  Importe : 28.45  Descripción : Servicios de mensajería en bicicleta o motocicleta. Servicio independiente de entrega de alimentos preparados, a través de la aplicación UberEats_x000D_
</t>
  </si>
  <si>
    <t>210A6371-D2A6-4713-97CB-5A6D19D13B8D.xml</t>
  </si>
  <si>
    <t>40</t>
  </si>
  <si>
    <t>2020-08-03T20:06:16</t>
  </si>
  <si>
    <t>210A6371-D2A6-4713-97CB-5A6D19D13B8D</t>
  </si>
  <si>
    <t xml:space="preserve">Cantidad : 1  valorUnitario : 88.49  Importe : 88.49  Descripción : Marketing fee 27 jul. 2020 - 2 ago. 2020_x000D_
</t>
  </si>
  <si>
    <t>36D0C866-BB9A-401F-B77D-07923B1BD335.xml</t>
  </si>
  <si>
    <t>MSE070727819</t>
  </si>
  <si>
    <t>AWP SERVICIOS MÉXICO S.A. DE C.V.</t>
  </si>
  <si>
    <t>46</t>
  </si>
  <si>
    <t>2020-08-21T18:48:25</t>
  </si>
  <si>
    <t>36D0C866-BB9A-401F-B77D-07923B1BD335</t>
  </si>
  <si>
    <t>5DCD62F6-F105-433D-A9EB-038512161B5A.xml</t>
  </si>
  <si>
    <t>CIC970922LKA</t>
  </si>
  <si>
    <t>CONSORCIO INTERAMERICANO DE COMUNICACIÓN S.A. DE C.V.</t>
  </si>
  <si>
    <t>48</t>
  </si>
  <si>
    <t>2020-08-21T21:50:27</t>
  </si>
  <si>
    <t>5DCD62F6-F105-433D-A9EB-038512161B5A</t>
  </si>
  <si>
    <t>XAXX010101000</t>
  </si>
  <si>
    <t>PÚBLICO EN GENERAL</t>
  </si>
  <si>
    <t>41</t>
  </si>
  <si>
    <t>2020-08-03T21:13:40</t>
  </si>
  <si>
    <t>P01 - Por definir</t>
  </si>
  <si>
    <t>8B17A060-E4F2-4399-9D31-FC47986495E9.xml</t>
  </si>
  <si>
    <t>SAC970610RX8</t>
  </si>
  <si>
    <t>SIGMA ALIMENTOS CORPORATIVO, S.A. DE C.V.</t>
  </si>
  <si>
    <t>51</t>
  </si>
  <si>
    <t>2020-08-23T20:52:40</t>
  </si>
  <si>
    <t>8B17A060-E4F2-4399-9D31-FC47986495E9</t>
  </si>
  <si>
    <t>8F799D88-08A5-4A33-95FB-30EC7815C82C.xml</t>
  </si>
  <si>
    <t>43</t>
  </si>
  <si>
    <t>2020-08-10T22:09:55</t>
  </si>
  <si>
    <t>8F799D88-08A5-4A33-95FB-30EC7815C82C</t>
  </si>
  <si>
    <t xml:space="preserve">Cantidad : 1  valorUnitario : 164.92  Importe : 164.92  Descripción : Marketing fee 3 ago. 2020 - 9 ago. 2020_x000D_
</t>
  </si>
  <si>
    <t>92DAA360-47D0-40FE-974A-8AB556D4B469.xml</t>
  </si>
  <si>
    <t>52</t>
  </si>
  <si>
    <t>2020-08-24T19:22:26</t>
  </si>
  <si>
    <t>92DAA360-47D0-40FE-974A-8AB556D4B469</t>
  </si>
  <si>
    <t xml:space="preserve">Cantidad : 1  valorUnitario : 250.30  Importe : 250.30  Descripción : Marketing fee 17 ago. 2020 - 23 ago. 2020_x000D_
</t>
  </si>
  <si>
    <t>A654DEE7-B70A-47A8-9EC2-099007BD3563.xml</t>
  </si>
  <si>
    <t>BBO961025FA5</t>
  </si>
  <si>
    <t>BBVA BANCOMER OPERADORA, SA DE CV</t>
  </si>
  <si>
    <t>47</t>
  </si>
  <si>
    <t>2020-08-21T20:14:55</t>
  </si>
  <si>
    <t>A654DEE7-B70A-47A8-9EC2-099007BD3563</t>
  </si>
  <si>
    <t>BE7017B0-30CC-43B1-A375-C7C8C3F0B4C2.xml</t>
  </si>
  <si>
    <t>QCI150310HK7</t>
  </si>
  <si>
    <t>QUARRY CONSTRUCCIONES E INMUEBLES S.A. DE C.V.</t>
  </si>
  <si>
    <t>42</t>
  </si>
  <si>
    <t>2020-08-03T21:18:12</t>
  </si>
  <si>
    <t>BE7017B0-30CC-43B1-A375-C7C8C3F0B4C2</t>
  </si>
  <si>
    <t>CC4D31F8-D569-4FC9-89FE-2DFC16C61302.xml</t>
  </si>
  <si>
    <t>TRM880623TB8</t>
  </si>
  <si>
    <t>TURBO-MEX REFACCIONES MANTENIMIENTO Y SEGURIDAD INDUSTRIAL, S.A. DE C.V.</t>
  </si>
  <si>
    <t>49</t>
  </si>
  <si>
    <t>2020-08-22T17:19:35</t>
  </si>
  <si>
    <t>CC4D31F8-D569-4FC9-89FE-2DFC16C61302</t>
  </si>
  <si>
    <t xml:space="preserve">Cantidad : 1  valorUnitario : 12.93  Importe : 12.93  Descripción : Servicios de mensajería en bicicleta o motocicleta. Servicio independiente de entrega de alimentos preparados, a través de la aplicación UberEats_x000D_
</t>
  </si>
  <si>
    <t>D9EF8086-6C4A-44FA-AB60-B1347F5E7A78.xml</t>
  </si>
  <si>
    <t>53</t>
  </si>
  <si>
    <t>2020-08-31T23:59:59</t>
  </si>
  <si>
    <t>D9EF8086-6C4A-44FA-AB60-B1347F5E7A78</t>
  </si>
  <si>
    <t xml:space="preserve">Cantidad : 1  valorUnitario : 283.16  Importe : 283.16  Descripción : Marketing fee 24 ago. 2020 - 30 ago. 2020_x000D_
</t>
  </si>
  <si>
    <t>DCEA7D37-5AA4-426B-BCA5-351CE321253B.xml</t>
  </si>
  <si>
    <t>DIP940810C1A</t>
  </si>
  <si>
    <t>DIPROLI S.A. DE C.V</t>
  </si>
  <si>
    <t>44</t>
  </si>
  <si>
    <t>2020-08-16T00:18:15</t>
  </si>
  <si>
    <t>DCEA7D37-5AA4-426B-BCA5-351CE321253B</t>
  </si>
  <si>
    <t>FDAB5989-5B4F-4409-A702-8350243C092F.xml</t>
  </si>
  <si>
    <t>45</t>
  </si>
  <si>
    <t>2020-08-18T03:55:12</t>
  </si>
  <si>
    <t>FDAB5989-5B4F-4409-A702-8350243C092F</t>
  </si>
  <si>
    <t xml:space="preserve">Cantidad : 1  valorUnitario : 324.80  Importe : 324.80  Descripción : Marketing fee 10 ago. 2020 - 16 ago. 2020_x000D_
</t>
  </si>
  <si>
    <t>02ED2BC2-CAD1-4097-A71C-59E73DDA1C71.xml</t>
  </si>
  <si>
    <t>66</t>
  </si>
  <si>
    <t>2020-09-21T20:12:32</t>
  </si>
  <si>
    <t>02ED2BC2-CAD1-4097-A71C-59E73DDA1C71</t>
  </si>
  <si>
    <t xml:space="preserve">Cantidad : 1  valorUnitario : 406.34  Importe : 406.34  Descripción : Marketing fee 14 sept. 2020 - 20 sept. 2020_x000D_
</t>
  </si>
  <si>
    <t>22B4924F-151D-4281-BB73-0DCF6A95EF00.xml</t>
  </si>
  <si>
    <t>SIA9811259P3</t>
  </si>
  <si>
    <t>SISTEMA INTEGRAL DE ADMINISTRACION SA DE CV</t>
  </si>
  <si>
    <t>69</t>
  </si>
  <si>
    <t>2020-09-26T13:12:00</t>
  </si>
  <si>
    <t>22B4924F-151D-4281-BB73-0DCF6A95EF00</t>
  </si>
  <si>
    <t>3707D0E1-81FE-4DC7-83DD-707A10B2DDE2.xml</t>
  </si>
  <si>
    <t>OFT041125BR9</t>
  </si>
  <si>
    <t>OFTOMEDICS S. A. DE C. V.</t>
  </si>
  <si>
    <t>55</t>
  </si>
  <si>
    <t>2020-09-02T19:02:45</t>
  </si>
  <si>
    <t>3707D0E1-81FE-4DC7-83DD-707A10B2DDE2</t>
  </si>
  <si>
    <t>4A1FCB83-0A11-40FC-9BC1-44B51D8E3BC0.xml</t>
  </si>
  <si>
    <t>DDI130703SC8</t>
  </si>
  <si>
    <t>DBLINK 10, S DE R.L. DE C.V.</t>
  </si>
  <si>
    <t>54</t>
  </si>
  <si>
    <t>2020-09-01T13:51:37</t>
  </si>
  <si>
    <t>4A1FCB83-0A11-40FC-9BC1-44B51D8E3BC0</t>
  </si>
  <si>
    <t xml:space="preserve">Cantidad : 1  valorUnitario : 25.86  Importe : 25.86  Descripción : Servicios de mensajería en bicicleta o motocicleta. Servicio independiente de entrega de alimentos preparados, a través de la aplicación UberEats_x000D_
</t>
  </si>
  <si>
    <t>4CF64ADD-ABA8-46BA-960F-D4226336A27A.xml</t>
  </si>
  <si>
    <t>MAMM760901IF1</t>
  </si>
  <si>
    <t>MARTHA SINDY MARTINEZ MENDOZA</t>
  </si>
  <si>
    <t>62</t>
  </si>
  <si>
    <t>2020-09-15T15:12:28</t>
  </si>
  <si>
    <t>4CF64ADD-ABA8-46BA-960F-D4226336A27A</t>
  </si>
  <si>
    <t>56553061-EB03-440B-BDF7-10B9C11C8CD1.xml</t>
  </si>
  <si>
    <t>DOTS850811KH1</t>
  </si>
  <si>
    <t>SUSANA DONAIRE TORRES</t>
  </si>
  <si>
    <t>63</t>
  </si>
  <si>
    <t>2020-09-16T13:55:34</t>
  </si>
  <si>
    <t>56553061-EB03-440B-BDF7-10B9C11C8CD1</t>
  </si>
  <si>
    <t xml:space="preserve">Cantidad : 1  valorUnitario : 22.41  Importe : 22.41  Descripción : Servicios de mensajería en bicicleta o motocicleta. Servicio independiente de entrega de alimentos preparados, a través de la aplicación UberEats_x000D_
</t>
  </si>
  <si>
    <t>8F5E7616-37BA-44D8-9154-7868E4529784.xml</t>
  </si>
  <si>
    <t>MSE1612195E0</t>
  </si>
  <si>
    <t>MEINDUST SERVICES, SA DE CV</t>
  </si>
  <si>
    <t>60</t>
  </si>
  <si>
    <t>2020-09-13T16:19:49</t>
  </si>
  <si>
    <t>8F5E7616-37BA-44D8-9154-7868E4529784</t>
  </si>
  <si>
    <t>91F40F3A-0E28-4B6C-80A2-A29C0647B04E.xml</t>
  </si>
  <si>
    <t>CJC950529128</t>
  </si>
  <si>
    <t>CONSORCIO JURIDICO DE COBRANZA ESPECIALIZADA, S.A DE C.V</t>
  </si>
  <si>
    <t>58</t>
  </si>
  <si>
    <t>2020-09-12T12:09:21</t>
  </si>
  <si>
    <t>91F40F3A-0E28-4B6C-80A2-A29C0647B04E</t>
  </si>
  <si>
    <t>9DB75045-DF05-4206-B702-B68D563A6849.xml</t>
  </si>
  <si>
    <t>SGM051122SH2</t>
  </si>
  <si>
    <t>SERVICIOS Y GESTIONES DE MANZANILLO SA DE CV</t>
  </si>
  <si>
    <t>70</t>
  </si>
  <si>
    <t>2020-09-27T16:33:45</t>
  </si>
  <si>
    <t>9DB75045-DF05-4206-B702-B68D563A6849</t>
  </si>
  <si>
    <t>A1546919-4ECE-4ECA-A402-F14A6C6C525C.xml</t>
  </si>
  <si>
    <t>UAM740101AR1</t>
  </si>
  <si>
    <t>UNIVERSIDAD AUTÓNOMA METROPOLITANA</t>
  </si>
  <si>
    <t>64</t>
  </si>
  <si>
    <t>2020-09-16T18:22:36</t>
  </si>
  <si>
    <t>A1546919-4ECE-4ECA-A402-F14A6C6C525C</t>
  </si>
  <si>
    <t>B17EBECE-B700-4B5E-8446-190DCB94EB04.xml</t>
  </si>
  <si>
    <t>BORH390314F74</t>
  </si>
  <si>
    <t>HECTOR HERMILO BONILLA REBENTÚN</t>
  </si>
  <si>
    <t>59</t>
  </si>
  <si>
    <t>2020-09-12T13:38:54</t>
  </si>
  <si>
    <t>B17EBECE-B700-4B5E-8446-190DCB94EB04</t>
  </si>
  <si>
    <t>BD70B32F-BB4C-4921-A241-EC3C36323559.xml</t>
  </si>
  <si>
    <t>HEBT8205081M5</t>
  </si>
  <si>
    <t>TOMAS URIEL HERNANDEZ BASURTO</t>
  </si>
  <si>
    <t>68</t>
  </si>
  <si>
    <t>2020-09-25T22:28:19</t>
  </si>
  <si>
    <t>BD70B32F-BB4C-4921-A241-EC3C36323559</t>
  </si>
  <si>
    <t xml:space="preserve">Cantidad : 1  valorUnitario : 29.31  Importe : 29.31  Descripción : Servicios de mensajería en bicicleta o motocicleta. Servicio independiente de entrega de alimentos preparados, a través de la aplicación UberEats_x000D_
</t>
  </si>
  <si>
    <t>C6B454A0-0E17-424C-849D-EC2DF303920D.xml</t>
  </si>
  <si>
    <t>OMN9810074I4</t>
  </si>
  <si>
    <t>LATAM PROFESSIONAL SOLUTIONS SA DE CV</t>
  </si>
  <si>
    <t>67</t>
  </si>
  <si>
    <t>2020-09-25T14:41:32</t>
  </si>
  <si>
    <t>C6B454A0-0E17-424C-849D-EC2DF303920D</t>
  </si>
  <si>
    <t>DF88804C-D4E9-4732-BE8C-AAD181BF772E.xml</t>
  </si>
  <si>
    <t>57</t>
  </si>
  <si>
    <t>2020-09-07T21:00:36</t>
  </si>
  <si>
    <t>DF88804C-D4E9-4732-BE8C-AAD181BF772E</t>
  </si>
  <si>
    <t xml:space="preserve">Cantidad : 1  valorUnitario : 545.56  Importe : 545.56  Descripción : Marketing fee 31 ago. 2020 - 6 sept. 2020_x000D_
</t>
  </si>
  <si>
    <t>56</t>
  </si>
  <si>
    <t>2020-09-02T19:24:33</t>
  </si>
  <si>
    <t>E8F4C58C-255E-4D1E-AA45-2A6F209C9A53.xml</t>
  </si>
  <si>
    <t>71</t>
  </si>
  <si>
    <t>2020-09-28T20:47:34</t>
  </si>
  <si>
    <t>E8F4C58C-255E-4D1E-AA45-2A6F209C9A53</t>
  </si>
  <si>
    <t xml:space="preserve">Cantidad : 1  valorUnitario : 390.73  Importe : 390.73  Descripción : Marketing fee 21 sept. 2020 - 27 sept. 2020_x000D_
</t>
  </si>
  <si>
    <t>F1BE6F7D-E96B-4E40-B6DB-618E81844B80.xml</t>
  </si>
  <si>
    <t>61</t>
  </si>
  <si>
    <t>2020-09-14T21:02:02</t>
  </si>
  <si>
    <t>F1BE6F7D-E96B-4E40-B6DB-618E81844B80</t>
  </si>
  <si>
    <t xml:space="preserve">Cantidad : 1  valorUnitario : 497.07  Importe : 497.07  Descripción : Marketing fee 7 sept. 2020 - 13 sept. 2020_x000D_
</t>
  </si>
  <si>
    <t>FFD8393A-9EF9-495B-A50C-97E94A34D2EF.xml</t>
  </si>
  <si>
    <t>BME950615C75</t>
  </si>
  <si>
    <t>BASELL MEXICO, S. DE R.L. DE C.V.</t>
  </si>
  <si>
    <t>65</t>
  </si>
  <si>
    <t>2020-09-19T11:35:32</t>
  </si>
  <si>
    <t>FFD8393A-9EF9-495B-A50C-97E94A34D2EF</t>
  </si>
  <si>
    <t>2020-10-02T11:35:32</t>
  </si>
  <si>
    <t>13C82D20-4AD7-4380-B9A0-D23C389D7E02.xml</t>
  </si>
  <si>
    <t>CANL531213I98</t>
  </si>
  <si>
    <t>LUIS CABALLERO NAVARRO</t>
  </si>
  <si>
    <t>Alan Fernando Macías González</t>
  </si>
  <si>
    <t>3CA</t>
  </si>
  <si>
    <t>85746</t>
  </si>
  <si>
    <t>2020-06-30T18:12:00</t>
  </si>
  <si>
    <t>13C82D20-4AD7-4380-B9A0-D23C389D7E02</t>
  </si>
  <si>
    <t>Personas Físicas con Actividades Empresariales y Profesionales</t>
  </si>
  <si>
    <t xml:space="preserve">Cantidad : 3.475  valorUnitario : 15.8408  Importe : 55.05  Descripción : 32012                PREMIUM_x000D_
</t>
  </si>
  <si>
    <t>40b1536c-4b67-4245-8e95-21fb45e25a6d.xml</t>
  </si>
  <si>
    <t>SST670509DM9</t>
  </si>
  <si>
    <t>SUPER SERVICIO TAXQUENA, SA DE CV</t>
  </si>
  <si>
    <t>K</t>
  </si>
  <si>
    <t>71575</t>
  </si>
  <si>
    <t>2020-06-30T18:28:18</t>
  </si>
  <si>
    <t>40b1536c-4b67-4245-8e95-21fb45e25a6d</t>
  </si>
  <si>
    <t>1</t>
  </si>
  <si>
    <t>General de Ley Personas Morales</t>
  </si>
  <si>
    <t xml:space="preserve">Cantidad : 10.758  valorUnitario : 16.086124  Importe : 173.05  Descripción : MAGNA_x000D_
</t>
  </si>
  <si>
    <t>5D2BAE1D-85DE-4650-AD5F-BC38A2C90B43.xml</t>
  </si>
  <si>
    <t>UBER PORTIER MEXICO S DE RL DE CV</t>
  </si>
  <si>
    <t>ALAN FERNANDO MACÍAS GONZÁLEZ</t>
  </si>
  <si>
    <t>EATS</t>
  </si>
  <si>
    <t>262620</t>
  </si>
  <si>
    <t>2020-06-08T20:12:26</t>
  </si>
  <si>
    <t>5D2BAE1D-85DE-4650-AD5F-BC38A2C90B43</t>
  </si>
  <si>
    <t xml:space="preserve">Cantidad : 1  valorUnitario : 25.00  Importe : 25.00  Descripción : Cuota de suscripción 1 jun. 2020 - 7 jun. 2020_x000D_
</t>
  </si>
  <si>
    <t>63F8E038-D7FD-4131-841A-302353A723D6.xml</t>
  </si>
  <si>
    <t>BME970312IY6</t>
  </si>
  <si>
    <t>BradesCard México S. de R.L.</t>
  </si>
  <si>
    <t>MACIAS GONZALEZ ALAN FERNANDO</t>
  </si>
  <si>
    <t>2020-06-22T04:00:40</t>
  </si>
  <si>
    <t>63F8E038-D7FD-4131-841A-302353A723D6</t>
  </si>
  <si>
    <t xml:space="preserve">Cantidad : 1  valorUnitario : 0.01  Importe : 0.01  Descripción : COMISIONES DEL MES_x000D_
Cantidad : 1  valorUnitario : 46.09  Importe : 46.09  Descripción : INTERESES GRAVADOS_x000D_
Cantidad : 1  valorUnitario : 0.01  Importe : 0.01  Descripción : INTERESES EXENTOS_x000D_
</t>
  </si>
  <si>
    <t>75525596-AD9D-499B-BAC3-0C9D7073EE7E.xml</t>
  </si>
  <si>
    <t>85747</t>
  </si>
  <si>
    <t>2020-06-30T18:16:00</t>
  </si>
  <si>
    <t>75525596-AD9D-499B-BAC3-0C9D7073EE7E</t>
  </si>
  <si>
    <t xml:space="preserve">Cantidad : 3.875  valorUnitario : 16.0994  Importe : 62.39  Descripción : 32012                PREMIUM_x000D_
</t>
  </si>
  <si>
    <t>817D9C14-EAE5-468A-8A00-3A9789544DF6.xml</t>
  </si>
  <si>
    <t>278131</t>
  </si>
  <si>
    <t>2020-06-15T19:06:53</t>
  </si>
  <si>
    <t>817D9C14-EAE5-468A-8A00-3A9789544DF6</t>
  </si>
  <si>
    <t xml:space="preserve">Cantidad : 1  valorUnitario : 25.00  Importe : 25.00  Descripción : Cuota de suscripción 8 jun. 2020 - 14 jun. 2020_x000D_
</t>
  </si>
  <si>
    <t>9E20446F-03BC-4444-91E3-88727337BB15.xml</t>
  </si>
  <si>
    <t>85736</t>
  </si>
  <si>
    <t>2020-06-30T17:54:00</t>
  </si>
  <si>
    <t>9E20446F-03BC-4444-91E3-88727337BB15</t>
  </si>
  <si>
    <t xml:space="preserve">Cantidad : 10.007  valorUnitario : 15.3235  Importe : 153.34  Descripción : 32012                PREMIUM_x000D_
</t>
  </si>
  <si>
    <t>A832987A-8835-4831-92B2-BE215E5ACD10.xml</t>
  </si>
  <si>
    <t>85743</t>
  </si>
  <si>
    <t>2020-06-30T18:08:00</t>
  </si>
  <si>
    <t>A832987A-8835-4831-92B2-BE215E5ACD10</t>
  </si>
  <si>
    <t xml:space="preserve">Cantidad : 10.000  valorUnitario : 15.7546  Importe : 157.55  Descripción : 32012                PREMIUM_x000D_
</t>
  </si>
  <si>
    <t>B3BA1585-1EDB-475E-9947-0CCA87203B9F.xml</t>
  </si>
  <si>
    <t>210404</t>
  </si>
  <si>
    <t>2020-06-01T22:20:09</t>
  </si>
  <si>
    <t>B3BA1585-1EDB-475E-9947-0CCA87203B9F</t>
  </si>
  <si>
    <t xml:space="preserve">Cantidad : 1  valorUnitario : 25.00  Importe : 25.00  Descripción : Cuota de suscripción 25 may. 2020 - 31 may. 2020_x000D_
</t>
  </si>
  <si>
    <t>C704B765-6E10-824C-986D-34B9EE71D720.xml</t>
  </si>
  <si>
    <t>GGB080116EZ0</t>
  </si>
  <si>
    <t>GRUPO BURSATIL MEXICANO S.A. DE C.V., CASA DE BOLSA</t>
  </si>
  <si>
    <t>CB</t>
  </si>
  <si>
    <t>5290105</t>
  </si>
  <si>
    <t>2020-06-03T12:28:28</t>
  </si>
  <si>
    <t>C704B765-6E10-824C-986D-34B9EE71D720</t>
  </si>
  <si>
    <t xml:space="preserve">Cantidad : 1  valorUnitario : 0.01  Importe : 0.01  Descripción : Servicios de Facturación_x000D_
</t>
  </si>
  <si>
    <t>FCDD5A07-D8C4-4C30-8EF1-FB20B5755619.xml</t>
  </si>
  <si>
    <t>371535</t>
  </si>
  <si>
    <t>2020-06-22T20:27:24</t>
  </si>
  <si>
    <t>FCDD5A07-D8C4-4C30-8EF1-FB20B5755619</t>
  </si>
  <si>
    <t xml:space="preserve">Cantidad : 1  valorUnitario : 25.00  Importe : 25.00  Descripción : Cuota de suscripción 15 jun. 2020 - 21 jun. 2020_x000D_
</t>
  </si>
  <si>
    <t>FD8853A2-DAE4-4E49-9769-9A8A26D9723B.xml</t>
  </si>
  <si>
    <t>BAI0205236Y8</t>
  </si>
  <si>
    <t>BANCO AZTECA SA INSTITUCION DE BANCA MULTIPLE</t>
  </si>
  <si>
    <t>2055983750</t>
  </si>
  <si>
    <t>2020-06-13T03:24:43</t>
  </si>
  <si>
    <t>FD8853A2-DAE4-4E49-9769-9A8A26D9723B</t>
  </si>
  <si>
    <t xml:space="preserve">Cantidad : 1  valorUnitario : 0.01  Importe : 0.01  Descripción : TOTAL DE COMISIONES_x000D_
</t>
  </si>
  <si>
    <t>19B2CF87-37AB-44E5-9F1F-733693BE06B5.xml</t>
  </si>
  <si>
    <t>511103</t>
  </si>
  <si>
    <t>2020-07-06T03:37:06</t>
  </si>
  <si>
    <t>19B2CF87-37AB-44E5-9F1F-733693BE06B5</t>
  </si>
  <si>
    <t xml:space="preserve">Cantidad : 1  valorUnitario : 25.00  Importe : 25.00  Descripción : Cuota de suscripción 22 jun. 2020 - 28 jun. 2020_x000D_
</t>
  </si>
  <si>
    <t>22853EF6-5E50-2446-AF25-C5F0FB9E5880.xml</t>
  </si>
  <si>
    <t>5290106</t>
  </si>
  <si>
    <t>2020-07-05T14:01:43</t>
  </si>
  <si>
    <t>22853EF6-5E50-2446-AF25-C5F0FB9E5880</t>
  </si>
  <si>
    <t xml:space="preserve">Cantidad : 1  valorUnitario : 10.60  Importe : 10.60  Descripción : Comisiones_x000D_
</t>
  </si>
  <si>
    <t>474723AD-230F-4C91-8B73-314E1FEC6235.xml</t>
  </si>
  <si>
    <t>869323</t>
  </si>
  <si>
    <t>2020-07-20T19:44:31</t>
  </si>
  <si>
    <t>474723AD-230F-4C91-8B73-314E1FEC6235</t>
  </si>
  <si>
    <t xml:space="preserve">Cantidad : 1  valorUnitario : 25.00  Importe : 25.00  Descripción : Cuota de suscripción 13 jul. 2020 - 19 jul. 2020_x000D_
</t>
  </si>
  <si>
    <t>5EAA27C8-9B5B-4E9B-B373-6753C35511DF.xml</t>
  </si>
  <si>
    <t>2138783083</t>
  </si>
  <si>
    <t>2020-07-13T11:24:27</t>
  </si>
  <si>
    <t>5EAA27C8-9B5B-4E9B-B373-6753C35511DF</t>
  </si>
  <si>
    <t>6A79C515-C737-4AD2-BF65-8C2758CFF859.xml</t>
  </si>
  <si>
    <t>963447</t>
  </si>
  <si>
    <t>2020-07-27T22:19:36</t>
  </si>
  <si>
    <t>6A79C515-C737-4AD2-BF65-8C2758CFF859</t>
  </si>
  <si>
    <t xml:space="preserve">Cantidad : 1  valorUnitario : 25.00  Importe : 25.00  Descripción : Cuota de suscripción 20 jul. 2020 - 26 jul. 2020_x000D_
</t>
  </si>
  <si>
    <t>6D0E8387-0508-461C-9AA6-D046809C0097.xml</t>
  </si>
  <si>
    <t>809448</t>
  </si>
  <si>
    <t>2020-07-16T09:58:46</t>
  </si>
  <si>
    <t>6D0E8387-0508-461C-9AA6-D046809C0097</t>
  </si>
  <si>
    <t xml:space="preserve">Cantidad : 1  valorUnitario : 25.00  Importe : 25.00  Descripción : Cuota de suscripción 6 jul. 2020 - 12 jul. 2020_x000D_
</t>
  </si>
  <si>
    <t>CA420F8D-CE58-49E2-AA1D-5C28858081D6.xml</t>
  </si>
  <si>
    <t>2020-07-21T03:45:28</t>
  </si>
  <si>
    <t>CA420F8D-CE58-49E2-AA1D-5C28858081D6</t>
  </si>
  <si>
    <t xml:space="preserve">Cantidad : 1  valorUnitario : 0.01  Importe : 0.01  Descripción : COMISIONES DEL MES_x000D_
Cantidad : 1  valorUnitario : 39.05  Importe : 39.05  Descripción : INTERESES GRAVADOS_x000D_
Cantidad : 1  valorUnitario : 0.01  Importe : 0.01  Descripción : INTERESES EXENTOS_x000D_
</t>
  </si>
  <si>
    <t>DB29CF5F-8180-435C-8D53-A3568B26CF04.xml</t>
  </si>
  <si>
    <t>679417</t>
  </si>
  <si>
    <t>2020-07-06T20:06:14</t>
  </si>
  <si>
    <t>DB29CF5F-8180-435C-8D53-A3568B26CF04</t>
  </si>
  <si>
    <t xml:space="preserve">Cantidad : 1  valorUnitario : 25.00  Importe : 25.00  Descripción : Cuota de suscripción 29 jun. 2020 - 5 jul. 2020_x000D_
</t>
  </si>
  <si>
    <t>03F0D896-FB73-4E38-907D-5E9B90E6336E.xml</t>
  </si>
  <si>
    <t>1304537</t>
  </si>
  <si>
    <t>2020-08-24T21:23:13</t>
  </si>
  <si>
    <t>03F0D896-FB73-4E38-907D-5E9B90E6336E</t>
  </si>
  <si>
    <t xml:space="preserve">Cantidad : 1  valorUnitario : 75.00  Importe : 75.00  Descripción : Cuota de suscripción 17 ago. 2020 - 23 ago. 2020_x000D_
</t>
  </si>
  <si>
    <t>0446A37D-A8D5-4C9D-AB90-679668ACCD57.xml</t>
  </si>
  <si>
    <t>91348</t>
  </si>
  <si>
    <t>2020-08-29T14:54:00</t>
  </si>
  <si>
    <t>0446A37D-A8D5-4C9D-AB90-679668ACCD57</t>
  </si>
  <si>
    <t>01 - Efectivo</t>
  </si>
  <si>
    <t xml:space="preserve">Cantidad : 5.294  valorUnitario : 16.3447  Importe : 86.53  Descripción : 32011                MAGNA_x000D_
</t>
  </si>
  <si>
    <t>0F72C28C-9F53-4D67-AD61-CF98AA582B48.xml</t>
  </si>
  <si>
    <t>2211347266</t>
  </si>
  <si>
    <t>2020-08-07T18:05:30</t>
  </si>
  <si>
    <t>0F72C28C-9F53-4D67-AD61-CF98AA582B48</t>
  </si>
  <si>
    <t xml:space="preserve">Cantidad : 1  valorUnitario : 4611.00  Importe : 4611.00  Descripción : Intereses_x000D_
</t>
  </si>
  <si>
    <t>17EDAD1E-1795-4358-95CC-17D067E02CCD.xml</t>
  </si>
  <si>
    <t>2211126446</t>
  </si>
  <si>
    <t>2020-08-07T18:03:12</t>
  </si>
  <si>
    <t>17EDAD1E-1795-4358-95CC-17D067E02CCD</t>
  </si>
  <si>
    <t xml:space="preserve">Cantidad : 1  valorUnitario : 4557.00  Importe : 4557.00  Descripción : Intereses_x000D_
</t>
  </si>
  <si>
    <t>3344f9ed-db91-4909-933f-a224c63bbb58.xml</t>
  </si>
  <si>
    <t>SCJ061220195</t>
  </si>
  <si>
    <t>SERVICIOS CIUDAD JARDIN SA DE CV</t>
  </si>
  <si>
    <t>82802</t>
  </si>
  <si>
    <t>2020-08-29T15:02:32</t>
  </si>
  <si>
    <t>3344f9ed-db91-4909-933f-a224c63bbb58</t>
  </si>
  <si>
    <t xml:space="preserve">Cantidad : 6.846  valorUnitario : 16.430952  Importe : 112.49  Descripción : Magna_x000D_
</t>
  </si>
  <si>
    <t>352F5883-BC11-4961-B0C9-B1E71C4E5F5C.xml</t>
  </si>
  <si>
    <t>91349</t>
  </si>
  <si>
    <t>2020-08-29T14:56:00</t>
  </si>
  <si>
    <t>352F5883-BC11-4961-B0C9-B1E71C4E5F5C</t>
  </si>
  <si>
    <t xml:space="preserve">Cantidad : 6.088  valorUnitario : 16.3447  Importe : 99.51  Descripción : 32011                MAGNA_x000D_
</t>
  </si>
  <si>
    <t>3DA5E23C-656C-4872-A164-576B12F315D7.xml</t>
  </si>
  <si>
    <t>1342666</t>
  </si>
  <si>
    <t>2020-08-31T19:56:21</t>
  </si>
  <si>
    <t>3DA5E23C-656C-4872-A164-576B12F315D7</t>
  </si>
  <si>
    <t xml:space="preserve">Cantidad : 1  valorUnitario : 25.00  Importe : 25.00  Descripción : Cuota de suscripción 24 ago. 2020 - 30 ago. 2020_x000D_
</t>
  </si>
  <si>
    <t>4F1B225B-B705-443F-ADEB-0619E6DAC447.xml</t>
  </si>
  <si>
    <t>980706</t>
  </si>
  <si>
    <t>2020-08-03T19:29:05</t>
  </si>
  <si>
    <t>4F1B225B-B705-443F-ADEB-0619E6DAC447</t>
  </si>
  <si>
    <t xml:space="preserve">Cantidad : 1  valorUnitario : 25.00  Importe : 25.00  Descripción : Cuota de suscripción 27 jul. 2020 - 2 ago. 2020_x000D_
</t>
  </si>
  <si>
    <t>52FE2043-850B-487F-88E7-CD477BEF002C.xml</t>
  </si>
  <si>
    <t>2020-08-21T03:18:10</t>
  </si>
  <si>
    <t>52FE2043-850B-487F-88E7-CD477BEF002C</t>
  </si>
  <si>
    <t xml:space="preserve">Cantidad : 1  valorUnitario : 0.01  Importe : 0.01  Descripción : COMISIONES DEL MES_x000D_
Cantidad : 1  valorUnitario : 31.77  Importe : 31.77  Descripción : INTERESES GRAVADOS_x000D_
Cantidad : 1  valorUnitario : 0.01  Importe : 0.01  Descripción : INTERESES EXENTOS_x000D_
</t>
  </si>
  <si>
    <t>756F39EB-A116-4359-A19A-63FBFFEAD419.xml</t>
  </si>
  <si>
    <t>91350</t>
  </si>
  <si>
    <t>2020-08-29T14:57:00</t>
  </si>
  <si>
    <t>756F39EB-A116-4359-A19A-63FBFFEAD419</t>
  </si>
  <si>
    <t xml:space="preserve">Cantidad : 5.090  valorUnitario : 16.5218  Importe : 84.10  Descripción : 32012                PREMIUM_x000D_
</t>
  </si>
  <si>
    <t>9F1FE01B-02A9-405E-8537-1DF893CD023E.xml</t>
  </si>
  <si>
    <t>2210957254</t>
  </si>
  <si>
    <t>2020-08-07T17:50:44</t>
  </si>
  <si>
    <t>9F1FE01B-02A9-405E-8537-1DF893CD023E</t>
  </si>
  <si>
    <t xml:space="preserve">Cantidad : 1  valorUnitario : 4503.00  Importe : 4503.00  Descripción : Intereses_x000D_
</t>
  </si>
  <si>
    <t>A2DE9570-26EA-45D7-9277-37F64EB44936.xml</t>
  </si>
  <si>
    <t>91612</t>
  </si>
  <si>
    <t>2020-08-30T23:47:00</t>
  </si>
  <si>
    <t>A2DE9570-26EA-45D7-9277-37F64EB44936</t>
  </si>
  <si>
    <t xml:space="preserve">Cantidad : 10.336  valorUnitario : 16.7413  Importe : 173.04  Descripción : 32011                MAGNA_x000D_
</t>
  </si>
  <si>
    <t>D275D5CD-73E6-EB44-825A-E081D5D1F54C.xml</t>
  </si>
  <si>
    <t>5290107</t>
  </si>
  <si>
    <t>2020-08-05T13:31:44</t>
  </si>
  <si>
    <t>D275D5CD-73E6-EB44-825A-E081D5D1F54C</t>
  </si>
  <si>
    <t xml:space="preserve">Cantidad : 1  valorUnitario : 1.30  Importe : 1.30  Descripción : Comisiones_x000D_
</t>
  </si>
  <si>
    <t>D7FAEA8B-3F30-4F29-91BB-089B6DFDCE27.xml</t>
  </si>
  <si>
    <t>2221859093</t>
  </si>
  <si>
    <t>2020-08-13T03:23:19</t>
  </si>
  <si>
    <t>D7FAEA8B-3F30-4F29-91BB-089B6DFDCE27</t>
  </si>
  <si>
    <t>DF4EB1BE-147D-4E8F-B6F1-E931EAE52671.xml</t>
  </si>
  <si>
    <t>91337</t>
  </si>
  <si>
    <t>2020-08-29T12:58:00</t>
  </si>
  <si>
    <t>DF4EB1BE-147D-4E8F-B6F1-E931EAE52671</t>
  </si>
  <si>
    <t xml:space="preserve">Cantidad : 10.644  valorUnitario : 16.2585  Importe : 173.06  Descripción : 32011                MAGNA_x000D_
</t>
  </si>
  <si>
    <t>132CEC9E-FE4F-487E-9ABD-4FF012B5CED9.xml</t>
  </si>
  <si>
    <t>2020-09-21T03:33:33</t>
  </si>
  <si>
    <t>132CEC9E-FE4F-487E-9ABD-4FF012B5CED9</t>
  </si>
  <si>
    <t xml:space="preserve">Cantidad : 1  valorUnitario : 0.01  Importe : 0.01  Descripción : COMISIONES DEL MES_x000D_
Cantidad : 1  valorUnitario : 24.22  Importe : 24.22  Descripción : INTERESES GRAVADOS_x000D_
Cantidad : 1  valorUnitario : 0.01  Importe : 0.01  Descripción : INTERESES EXENTOS_x000D_
</t>
  </si>
  <si>
    <t>1C606B58-A4CD-2A49-95A9-E8CF127E8779.xml</t>
  </si>
  <si>
    <t>5290208</t>
  </si>
  <si>
    <t>2020-09-02T22:26:54</t>
  </si>
  <si>
    <t>1C606B58-A4CD-2A49-95A9-E8CF127E8779</t>
  </si>
  <si>
    <t>22F50E21-1986-4F4D-B697-B8EBB20A9844.xml</t>
  </si>
  <si>
    <t>94827</t>
  </si>
  <si>
    <t>2020-09-25T10:09:00</t>
  </si>
  <si>
    <t>22F50E21-1986-4F4D-B697-B8EBB20A9844</t>
  </si>
  <si>
    <t xml:space="preserve">Cantidad : 5.227  valorUnitario : 16.0994  Importe : 84.15  Descripción : 32012                PREMIUM_x000D_
</t>
  </si>
  <si>
    <t>33C37C70-12DF-454F-B489-B817C94A46F9.xml</t>
  </si>
  <si>
    <t>94093</t>
  </si>
  <si>
    <t>2020-09-20T15:52:00</t>
  </si>
  <si>
    <t>33C37C70-12DF-454F-B489-B817C94A46F9</t>
  </si>
  <si>
    <t xml:space="preserve">Cantidad : 10.875  valorUnitario : 15.9137  Importe : 173.06  Descripción : 32011                MAGNA_x000D_
</t>
  </si>
  <si>
    <t>44C9F6AC-8DBA-4158-B053-7CAA98001EDE.xml</t>
  </si>
  <si>
    <t>1659222</t>
  </si>
  <si>
    <t>2020-09-07T23:10:10</t>
  </si>
  <si>
    <t>44C9F6AC-8DBA-4158-B053-7CAA98001EDE</t>
  </si>
  <si>
    <t xml:space="preserve">Cantidad : 1  valorUnitario : 25.00  Importe : 25.00  Descripción : Cuota de suscripción 31 ago. 2020 - 6 sept. 2020_x000D_
</t>
  </si>
  <si>
    <t>501D22F7-B505-4C36-AA5A-27F1C4CEC715.xml</t>
  </si>
  <si>
    <t>94092</t>
  </si>
  <si>
    <t>501D22F7-B505-4C36-AA5A-27F1C4CEC715</t>
  </si>
  <si>
    <t xml:space="preserve">Cantidad : 4.700  valorUnitario : 16.0132  Importe : 75.26  Descripción : 32012                PREMIUM_x000D_
</t>
  </si>
  <si>
    <t>67B2BEAF-7324-4AFB-B804-89D31707846A.xml</t>
  </si>
  <si>
    <t>2312335087</t>
  </si>
  <si>
    <t>2020-09-14T08:58:46</t>
  </si>
  <si>
    <t>67B2BEAF-7324-4AFB-B804-89D31707846A</t>
  </si>
  <si>
    <t>9E4F01CF-4037-4ED2-B0FD-ED35B04E8974.xml</t>
  </si>
  <si>
    <t>94091</t>
  </si>
  <si>
    <t>2020-09-20T15:51:00</t>
  </si>
  <si>
    <t>9E4F01CF-4037-4ED2-B0FD-ED35B04E8974</t>
  </si>
  <si>
    <t xml:space="preserve">Cantidad : 5.372  valorUnitario : 16.0132  Importe : 86.02  Descripción : 32012                PREMIUM_x000D_
</t>
  </si>
  <si>
    <t>C4584CA8-F8C0-4ADE-8365-25236F0E9C3D.xml</t>
  </si>
  <si>
    <t>93161</t>
  </si>
  <si>
    <t>2020-09-10T21:52:00</t>
  </si>
  <si>
    <t>C4584CA8-F8C0-4ADE-8365-25236F0E9C3D</t>
  </si>
  <si>
    <t xml:space="preserve">Cantidad : 10.532  valorUnitario : 16.4310  Importe : 173.05  Descripción : 32011                MAGNA_x000D_
</t>
  </si>
  <si>
    <t>DCA9D438-BBB6-4439-A8DC-28F0FEE375BE.xml</t>
  </si>
  <si>
    <t>93162</t>
  </si>
  <si>
    <t>2020-09-10T21:55:00</t>
  </si>
  <si>
    <t>DCA9D438-BBB6-4439-A8DC-28F0FEE375BE</t>
  </si>
  <si>
    <t xml:space="preserve">Cantidad : 5.410  valorUnitario : 16.4442  Importe : 88.96  Descripción : 32012                PREMIUM_x000D_
</t>
  </si>
  <si>
    <t>E86B711D-6632-8340-9F35-9AE89FEA5401.xml</t>
  </si>
  <si>
    <t>5290108</t>
  </si>
  <si>
    <t>E86B711D-6632-8340-9F35-9AE89FEA5401</t>
  </si>
  <si>
    <t xml:space="preserve">Cantidad : 1  valorUnitario : 3.70  Importe : 3.70  Descripción : Comisiones_x000D_
</t>
  </si>
  <si>
    <t>EF3DE5F2-0E0F-4AA6-8488-88CA8F261FD4.xml</t>
  </si>
  <si>
    <t>1744536</t>
  </si>
  <si>
    <t>2020-09-21T20:13:39</t>
  </si>
  <si>
    <t>EF3DE5F2-0E0F-4AA6-8488-88CA8F261FD4</t>
  </si>
  <si>
    <t xml:space="preserve">Cantidad : 1  valorUnitario : 25.00  Importe : 25.00  Descripción : Cuota de suscripción 14 sept. 2020 - 20 sept. 2020_x000D_
</t>
  </si>
  <si>
    <t>F0CCD2BC-F3F4-4682-8EB3-1715C9E55D46.xml</t>
  </si>
  <si>
    <t>1735352</t>
  </si>
  <si>
    <t>2020-09-15T01:40:16</t>
  </si>
  <si>
    <t>F0CCD2BC-F3F4-4682-8EB3-1715C9E55D46</t>
  </si>
  <si>
    <t xml:space="preserve">Cantidad : 1  valorUnitario : 25.00  Importe : 25.00  Descripción : Cuota de suscripción 7 sept. 2020 - 13 sept. 2020_x000D_
</t>
  </si>
  <si>
    <t>F5B5FA46-1485-4247-A0E3-92FBD45EF41D.xml</t>
  </si>
  <si>
    <t>1809496</t>
  </si>
  <si>
    <t>2020-09-28T19:38:08</t>
  </si>
  <si>
    <t>F5B5FA46-1485-4247-A0E3-92FBD45EF41D</t>
  </si>
  <si>
    <t xml:space="preserve">Cantidad : 1  valorUnitario : 25.00  Importe : 25.00  Descripción : Cuota de suscripción 21 sept. 2020 - 27 sept. 2020_x000D_
</t>
  </si>
  <si>
    <t>PAGO PROVISIONAL</t>
  </si>
  <si>
    <t xml:space="preserve">PAGO DEFINITIVO </t>
  </si>
  <si>
    <t>VS</t>
  </si>
  <si>
    <t>DEDUCIBLES GASTOS IVA</t>
  </si>
  <si>
    <t>DECLARACIONES MENSUALES</t>
  </si>
  <si>
    <t>DECLARACION ANUAL</t>
  </si>
  <si>
    <t>DECLARACION INFORMATIVO IVA</t>
  </si>
  <si>
    <t>OBLIGACIONES</t>
  </si>
  <si>
    <t xml:space="preserve">PRESENTAR DECLARACION MENSUAL </t>
  </si>
  <si>
    <t>ISR E IVA DEFINITIVO</t>
  </si>
  <si>
    <t>PAGO DEFINITIVO 1 (EFECTIVO)</t>
  </si>
  <si>
    <t xml:space="preserve">PAGO DEFINITIVO 2 </t>
  </si>
  <si>
    <t>SIN DECLARAR</t>
  </si>
  <si>
    <t>REQUISITOS</t>
  </si>
  <si>
    <t xml:space="preserve">ANUALES </t>
  </si>
  <si>
    <t xml:space="preserve">5 AÑOS SIN OPCION A CAMBIO </t>
  </si>
  <si>
    <t xml:space="preserve">SIN DEDUCCION DE GASTOS </t>
  </si>
  <si>
    <t>INGRESOS</t>
  </si>
  <si>
    <t>GASTOS</t>
  </si>
  <si>
    <t>MES</t>
  </si>
  <si>
    <t xml:space="preserve">INGRESOS </t>
  </si>
  <si>
    <t>alanconsultorccm</t>
  </si>
  <si>
    <t>ALAN BECERRA TORRES</t>
  </si>
  <si>
    <t>ALANCONSULTORCCM</t>
  </si>
  <si>
    <t>2020-07-03T21:13:40</t>
  </si>
  <si>
    <t>TARIFA MENSUAL REGIMEN DE CONFIANZA</t>
  </si>
  <si>
    <t xml:space="preserve">MONTO DE LOS INGRESOS AMPARADOS POR COMPROBANTES FISCALES EFECTIVAMENTE COBRADOS, SIN IVA INGRESOS MENSUALES </t>
  </si>
  <si>
    <t>SIN DEDUCCIONES PARA EFECTOS DE IMPUESTO SOBRE LA RENTA</t>
  </si>
  <si>
    <t>DEDUCCIONES APLICABLES PARA EFECTOS DEL IMPUESTO AL VALOR AGREGADO</t>
  </si>
  <si>
    <t>INGRESOS MENSUALES $</t>
  </si>
  <si>
    <t>PORCENTAJE</t>
  </si>
  <si>
    <t xml:space="preserve">% ISR </t>
  </si>
  <si>
    <t>CONCEPTOS</t>
  </si>
  <si>
    <t xml:space="preserve">NUEVO REGIMEN DE CONFIANZA SIMPLIFICADO </t>
  </si>
  <si>
    <t>LIMITE NAXIMO DE INGRESOS</t>
  </si>
  <si>
    <t>SALDO ANUAL</t>
  </si>
  <si>
    <t>RETENCION ISR P.M.</t>
  </si>
  <si>
    <t xml:space="preserve">ISR A CARGO </t>
  </si>
  <si>
    <t xml:space="preserve">REGIMEN </t>
  </si>
  <si>
    <t>EJERCICIO FISCAL 2023</t>
  </si>
  <si>
    <t>ACTIVIDAD EMPRESARIAL</t>
  </si>
  <si>
    <t xml:space="preserve">EN EL EJERCICIO FISCAL 2024 YA PODEMOS REGRESAR DE NUEVO AL REGIMEN SIMPLIFICADO DE CONFIANZA </t>
  </si>
  <si>
    <t>IMPORTES</t>
  </si>
  <si>
    <t>(-)</t>
  </si>
  <si>
    <t>(=)</t>
  </si>
  <si>
    <t xml:space="preserve">RETENCIONES ISR </t>
  </si>
  <si>
    <t>PAGOS PROVISIONALES ACT</t>
  </si>
  <si>
    <t>INGRESOS ANUALES DE CONFIANZA</t>
  </si>
  <si>
    <t>MONTO DE LOS INGRESOS ANUALES SIN INCLUIR IVA</t>
  </si>
  <si>
    <t>TASA APLICABLE</t>
  </si>
  <si>
    <t>PORCENTAJE ANUAL %</t>
  </si>
  <si>
    <t>SALDO A CARGO O A FAVOR</t>
  </si>
  <si>
    <t>Ingresos Gravados al 16%</t>
  </si>
  <si>
    <t>Ingresos Gravados al 16% efectivo</t>
  </si>
  <si>
    <t>IVA a favor</t>
  </si>
  <si>
    <t xml:space="preserve">CONSULTORES CONTABLES DE MEXICO </t>
  </si>
  <si>
    <t>HOJA DE CLACULO ISR REGIMEN DE INCORPORACION FISCAL (RIF ART. 111-113 LISR</t>
  </si>
  <si>
    <t>1er BIMESTRE</t>
  </si>
  <si>
    <t>2do BIMESTRE</t>
  </si>
  <si>
    <t>3er BIMESTRE</t>
  </si>
  <si>
    <t>4to BIMESTRE</t>
  </si>
  <si>
    <t>5to BIMESTRE</t>
  </si>
  <si>
    <t>6to BIMESTRE</t>
  </si>
  <si>
    <t>ENE - FEB</t>
  </si>
  <si>
    <t>MAR - ABR</t>
  </si>
  <si>
    <t>MAY - JUN</t>
  </si>
  <si>
    <t>JUL - AGO</t>
  </si>
  <si>
    <t>SEP - OCT</t>
  </si>
  <si>
    <t>NOV - DIC</t>
  </si>
  <si>
    <t>UTILIDAD FISCAL</t>
  </si>
  <si>
    <t>PERDIDA FISCAL PERIODOS ANTERIORES</t>
  </si>
  <si>
    <r>
      <t xml:space="preserve"> X % de Subcidio </t>
    </r>
    <r>
      <rPr>
        <sz val="8"/>
        <rFont val="Arial"/>
        <family val="2"/>
      </rPr>
      <t>(Art. 111 LISR)</t>
    </r>
  </si>
  <si>
    <t xml:space="preserve"> - Reduccion de Impuesto </t>
  </si>
  <si>
    <t xml:space="preserve"> = ISR PAGO DEFINITIVO </t>
  </si>
  <si>
    <t>MARZO - ABRIL</t>
  </si>
  <si>
    <t>MAYO - JUNIO</t>
  </si>
  <si>
    <t>JULIO - AGOSTO</t>
  </si>
  <si>
    <t>SEPTIEMBRE - OCTUBRE</t>
  </si>
  <si>
    <t>NOVIEMBRE - DICIEMBRE</t>
  </si>
  <si>
    <t>AÑOS TRIBUTANDO</t>
  </si>
  <si>
    <t xml:space="preserve">ACTIVIDADES EMPRESARIALES Y PROFESIONALES </t>
  </si>
  <si>
    <t>EJERCICIO FISCAL 2021</t>
  </si>
  <si>
    <t>EJERCICIO FISCAL 2022</t>
  </si>
  <si>
    <t>ACTIVIDAD EMPRESARIAL Y PROFESIONAL</t>
  </si>
  <si>
    <t>REGIMEN DE INCORPORACION FISCAL</t>
  </si>
  <si>
    <t xml:space="preserve">PLATAFORMAS TECNOLOGICAS </t>
  </si>
  <si>
    <t>SECCION I</t>
  </si>
  <si>
    <t>SECCION II</t>
  </si>
  <si>
    <t>SECCION III</t>
  </si>
  <si>
    <t>OBLIGATORIO</t>
  </si>
  <si>
    <t>OPCIONAL</t>
  </si>
  <si>
    <t>REGIMEN Y OBLIGACIONES 2021</t>
  </si>
  <si>
    <t>REGIMEN SIMPLIFICADO DE CONFIANZA</t>
  </si>
  <si>
    <t>DEROGADO</t>
  </si>
  <si>
    <t>REGIMEN Y OBLIGACIONES 2022</t>
  </si>
  <si>
    <t>MUEBLES, ACTIVIDAD EMPRESARIAL Y PROFESIONAL</t>
  </si>
  <si>
    <t>MUEBLES, REGIMEN DE INCORPORACIÓN FISCAL</t>
  </si>
  <si>
    <t>INMUEBLES CAPITULO II</t>
  </si>
  <si>
    <t>ARRENDAMIENTO DE INMUEBLES</t>
  </si>
  <si>
    <t>SECCION IV</t>
  </si>
  <si>
    <t>MUEBLES/INM. SECCION IV</t>
  </si>
  <si>
    <t xml:space="preserve">ARRENDAMIENTO DE BIENES </t>
  </si>
  <si>
    <t>AGRICULTURA, GANADERIA, SILVICULTURA Y PESCA</t>
  </si>
  <si>
    <t>AGAPES T. III C. VIII AGAPES</t>
  </si>
  <si>
    <t xml:space="preserve">SECCION II REGIMEN DE INCORPORACION FISCAL </t>
  </si>
  <si>
    <t>SECCION I ACTIVIDAD EMPRESARIAL Y PROFESIONAL</t>
  </si>
  <si>
    <t xml:space="preserve">SECCION IV REGIMEN SIMPLIFICADO DE CONFIANZA </t>
  </si>
  <si>
    <t xml:space="preserve">FECHA DE INICIO </t>
  </si>
  <si>
    <t>FECHA FINAL EJERCICIO</t>
  </si>
  <si>
    <t>DIAS TRIBUTADOS</t>
  </si>
  <si>
    <t xml:space="preserve">INGRESOS CFDI PUE </t>
  </si>
  <si>
    <t>INGRESOS POR DIAS TRIBUTADOS</t>
  </si>
  <si>
    <t>IVA</t>
  </si>
  <si>
    <t>Determinaciòn de la PTU del ejercicio</t>
  </si>
  <si>
    <t>No deducibles articulo 28 fracc. XXX LISR</t>
  </si>
  <si>
    <t>Ingresos disminuidos</t>
  </si>
  <si>
    <t>Renta gravable para PTU</t>
  </si>
  <si>
    <t>(X)</t>
  </si>
  <si>
    <t>Tasa de PTU</t>
  </si>
  <si>
    <t>PTU del ejercicio</t>
  </si>
  <si>
    <t>INGRESOS EFECTIVAMENTE COBRADOS</t>
  </si>
  <si>
    <t>DEDUCCIONES AUTORIZADAS</t>
  </si>
  <si>
    <t>TOTAL A PAGAR</t>
  </si>
  <si>
    <t>SUJETO</t>
  </si>
  <si>
    <t xml:space="preserve">OBJETO </t>
  </si>
  <si>
    <t>BASE T</t>
  </si>
  <si>
    <t>TASA</t>
  </si>
  <si>
    <t>RESICO PERSONAS FISICAS</t>
  </si>
  <si>
    <t>RIF</t>
  </si>
  <si>
    <t>IMPUESTO A CARGO</t>
  </si>
  <si>
    <t>RESICO</t>
  </si>
  <si>
    <t>ARRENDAMIENTO</t>
  </si>
  <si>
    <t>2023 NO SUPERAR EL LIMITE DE INGRESOS POR 3,500,000.00</t>
  </si>
  <si>
    <t>2023 ESTARA EN RESICO?</t>
  </si>
  <si>
    <t>IVA RETENIDO RESICO</t>
  </si>
  <si>
    <t>Periodo</t>
  </si>
  <si>
    <t>Version</t>
  </si>
  <si>
    <t>UUIDs relacionados</t>
  </si>
  <si>
    <t>Tipo relacion</t>
  </si>
  <si>
    <t>CP Expedicion</t>
  </si>
  <si>
    <t>Fecha emision</t>
  </si>
  <si>
    <t>Fecha certificacion</t>
  </si>
  <si>
    <t>Fecha cancelacion</t>
  </si>
  <si>
    <t>pacCertifico</t>
  </si>
  <si>
    <t>Regimen emisor</t>
  </si>
  <si>
    <t>RFC emisor</t>
  </si>
  <si>
    <t>Razon emisor</t>
  </si>
  <si>
    <t>RFC receptor</t>
  </si>
  <si>
    <t>Razon receptor</t>
  </si>
  <si>
    <t>Claves de productos</t>
  </si>
  <si>
    <t>Efecto</t>
  </si>
  <si>
    <t>Tipo de cambio</t>
  </si>
  <si>
    <t>Metodo pago</t>
  </si>
  <si>
    <t>Forma pago</t>
  </si>
  <si>
    <t>SubTotal</t>
  </si>
  <si>
    <t>IVA Trasladado 16%</t>
  </si>
  <si>
    <t>IEPS Trasladado</t>
  </si>
  <si>
    <t>Local retenido</t>
  </si>
  <si>
    <t>Local trasladado</t>
  </si>
  <si>
    <t>5B4DAFD1-DCEF-4A1A-BD78-CED23D222958</t>
  </si>
  <si>
    <t/>
  </si>
  <si>
    <t>56070</t>
  </si>
  <si>
    <t>10</t>
  </si>
  <si>
    <t>I</t>
  </si>
  <si>
    <t>601</t>
  </si>
  <si>
    <t>SIM130521I67</t>
  </si>
  <si>
    <t>SEGURIDAD PARA LA INDUSTRIA Y MEDIO AMBIENTE, S.A. DE C.V.</t>
  </si>
  <si>
    <t>IRA710720365</t>
  </si>
  <si>
    <t>INGERSOLL RAND, S.A. DE C.V.</t>
  </si>
  <si>
    <t>80101510</t>
  </si>
  <si>
    <t>Servicios prestados para Facilities y Protección Civil durante el mes de enero 2018.</t>
  </si>
  <si>
    <t>G03</t>
  </si>
  <si>
    <t>INGRESO</t>
  </si>
  <si>
    <t>VIGENTE</t>
  </si>
  <si>
    <t>PPD</t>
  </si>
  <si>
    <t>03</t>
  </si>
  <si>
    <t>86CF7070-DE71-4914-9264-5A50FD64FC11</t>
  </si>
  <si>
    <t>IME1505074CA</t>
  </si>
  <si>
    <t>INGERSOLL-RAND DE MÉXICO, S DE RL DE CV</t>
  </si>
  <si>
    <t>77101700</t>
  </si>
  <si>
    <t>Servicios de Seguridad e Higiene en GLOBAL PLAYERYTEES durante el mes de diciembre 2017.
Proyecto AP00000273</t>
  </si>
  <si>
    <t>F643574F-A5C4-4A71-A65B-FCCFEF131A70</t>
  </si>
  <si>
    <t>80101500</t>
  </si>
  <si>
    <t>Servicios prestados para Facilities y Protección Civil durante el mes de enero 2018.
(30% CC Veracruz)</t>
  </si>
  <si>
    <t>EA725072-59C7-4578-9638-E4DCB15FF197</t>
  </si>
  <si>
    <t>Servicios prestados para Facilities y Protección Civil durante el mes de enero 2018.
(70% CC Puebla)</t>
  </si>
  <si>
    <t>5AA37796-CA12-4C6B-AD07-1EFB79F615A7</t>
  </si>
  <si>
    <t>Viáticos por Supervisión de Seguridad en la empresa BECTON DICKINSON MEXICO, durante septiembre y octubre 2017.</t>
  </si>
  <si>
    <t>E6650C16-AE2F-479C-8F0D-72E744F48D37</t>
  </si>
  <si>
    <t>19</t>
  </si>
  <si>
    <t>77101700 | 77101700 | 77101700</t>
  </si>
  <si>
    <t>Supervisión de Seguridad en mantto a compresores en la instalación de
Conexión en acero inoxidable (tipo 304 de 1" 1 1" 5/8 de largo total con dos roscas una de 3/4 y otra de | Conexión en acero inoxidable (tipo 304 1" x 3" 1/4 de largo total con dos roscas una de 3/4 npt y otra de | Rosca de 5/16 NC x 3/4 de profundidad en la carcasa de motor de compresor</t>
  </si>
  <si>
    <t>BC1BE44E-3E1B-48BC-9387-288397F06F18</t>
  </si>
  <si>
    <t>Supervisión de Seguridad de la empresa Fantago, SA de CV
Proyecto AP00000283</t>
  </si>
  <si>
    <t>46C4B72C-7DE8-4577-9042-224DCF7CD540</t>
  </si>
  <si>
    <t>81102500 | 81102500</t>
  </si>
  <si>
    <t>Elaboración y certificación de tres recipientes sujetos a presión hasta la obtención de su autorización definitiva. | Viáticos por día
PROYECTO PARTS CLIENTE CYMESA</t>
  </si>
  <si>
    <t>F52A1069-7AE8-4688-992B-061055883D9D</t>
  </si>
  <si>
    <t>BIN950131RI2</t>
  </si>
  <si>
    <t>BORDADOS INTERNACIONALES, SC DE RL DE CV</t>
  </si>
  <si>
    <t>77101700 | 77101700 | 81102600 | 81102500</t>
  </si>
  <si>
    <t>Trámite de actualización de la COI Cédula de Operación Integral. | Trámite de actualización de la LAM Licencia Ambiental Municipal | Estudio de Agua Residual a una descarga de 24 horas NOM-002-SEMARNAT. | Trámite de actualización de la Licencia de Funcionamiento.</t>
  </si>
  <si>
    <t>PUE</t>
  </si>
  <si>
    <t>6F183B2A-30C9-499F-A03D-65489ADC5B1A</t>
  </si>
  <si>
    <t>Viáticos por visita a CC Mty para pre auditoria corporativa</t>
  </si>
  <si>
    <t>D559B38A-767C-4B0D-8827-1F79DD098CA6</t>
  </si>
  <si>
    <t>81102500</t>
  </si>
  <si>
    <t>AF506DA4-0E12-4B1C-8961-13204278E90F</t>
  </si>
  <si>
    <t>921B4A9D-313E-465C-B06F-01B644B879BF</t>
  </si>
  <si>
    <t>06500</t>
  </si>
  <si>
    <t>AB</t>
  </si>
  <si>
    <t>0136915912</t>
  </si>
  <si>
    <t>IUS890616RH6</t>
  </si>
  <si>
    <t>AT&amp;T COMERCIALIZACIÓN MÓVIL, S. DE R.L. DE C.V.</t>
  </si>
  <si>
    <t>SEGURIDAD PARA LA INDUSTRIA Y MEDIO AMBIENTE SA DE CV</t>
  </si>
  <si>
    <t>83111603 | 83111603</t>
  </si>
  <si>
    <t>Renta de Plan ATT v3 aTu Manera 289 | Add On Control</t>
  </si>
  <si>
    <t>CBE44568-076B-11E8-87CC-00155D014007</t>
  </si>
  <si>
    <t>11529</t>
  </si>
  <si>
    <t>9622273</t>
  </si>
  <si>
    <t>ISD950921HE5</t>
  </si>
  <si>
    <t>I+D MEXICO S.A DE C.V.</t>
  </si>
  <si>
    <t>Seguridad para la Industria y Medio Ambiente, S.A. de C.V.</t>
  </si>
  <si>
    <t>95111615 | 95111615 | 95111615 | 95111615 | 95111615 | 95111615 | 95111615 | 95111615 | 95111615 | 95111615 | 95111615 | 95111615 | 95111615 | 95111615 | 95111615 | 95111615 | 95111615 | 95111615 | 95111615 | 95111615</t>
  </si>
  <si>
    <t>B1432A2F-5346-4359-BA00-C548101BA17E</t>
  </si>
  <si>
    <t>53270</t>
  </si>
  <si>
    <t>IZSV</t>
  </si>
  <si>
    <t>192</t>
  </si>
  <si>
    <t>SAPC5412043A1</t>
  </si>
  <si>
    <t>CRISTINA CLAUDIA SANCHEZ PEREZ</t>
  </si>
  <si>
    <t>01010101 | 93161600 | 78111808</t>
  </si>
  <si>
    <t>8fc30105-81b3-47ba-b55e-236f115c1696</t>
  </si>
  <si>
    <t>53100</t>
  </si>
  <si>
    <t>A</t>
  </si>
  <si>
    <t>532076</t>
  </si>
  <si>
    <t>SAA010404J86</t>
  </si>
  <si>
    <t>SISTEMA DE AUTOPISTAS AEROPUERTOS SERVICIOS CONEXOS Y AUXILIARES DEL ESTADO DE MEXICO</t>
  </si>
  <si>
    <t>95111602 | 95111602 | 95111602 | 95111602 | 95111602</t>
  </si>
  <si>
    <t>01</t>
  </si>
  <si>
    <t>67bf14e7-3615-4b82-8764-034e0e87e8d2</t>
  </si>
  <si>
    <t>05120</t>
  </si>
  <si>
    <t>PAEP</t>
  </si>
  <si>
    <t>200003436777</t>
  </si>
  <si>
    <t>PCE1710038M4</t>
  </si>
  <si>
    <t>PROMOTORA DE CARRETERAS ECATEPEC PIRAMIDES, S.A. DE C.V.</t>
  </si>
  <si>
    <t>83111602</t>
  </si>
  <si>
    <t>43DD44FD-4E51-4DA9-8D23-C18C6010A70A</t>
  </si>
  <si>
    <t>09320</t>
  </si>
  <si>
    <t>CLDA</t>
  </si>
  <si>
    <t>807</t>
  </si>
  <si>
    <t>VACO7703302SA</t>
  </si>
  <si>
    <t>OSCAR ADOLFO VALLE CERVANTES</t>
  </si>
  <si>
    <t>5BB4755D-B9A6-47E1-A8C4-C03F1B09C80A</t>
  </si>
  <si>
    <t>01020</t>
  </si>
  <si>
    <t>TER</t>
  </si>
  <si>
    <t>6359413</t>
  </si>
  <si>
    <t>DSA130408AM2</t>
  </si>
  <si>
    <t>DIGITAL SOLUTIONS AMERICAS S DE RL DE CV</t>
  </si>
  <si>
    <t>AFFBC60C-A7CA-4128-BB5B-600C9DA22784</t>
  </si>
  <si>
    <t>57139</t>
  </si>
  <si>
    <t>AFQW</t>
  </si>
  <si>
    <t>940</t>
  </si>
  <si>
    <t>FOBO880625875</t>
  </si>
  <si>
    <t>OSCAR VICTOR FLORES BELECHE</t>
  </si>
  <si>
    <t>C0A79539-18E4-47AA-876E-843575F8AF7C</t>
  </si>
  <si>
    <t>6388707</t>
  </si>
  <si>
    <t>44385227-B52A-46D1-A939-C1B273C28E09</t>
  </si>
  <si>
    <t>05348</t>
  </si>
  <si>
    <t>FAOMXPOS</t>
  </si>
  <si>
    <t>12857557</t>
  </si>
  <si>
    <t>OOM960429832</t>
  </si>
  <si>
    <t>Operadora OMX. S.A. de C.V.</t>
  </si>
  <si>
    <t>SEGURIDAD PARA LA INDUS Y MEDIO AMB</t>
  </si>
  <si>
    <t>01010101 | 82121700</t>
  </si>
  <si>
    <t>D684E1DA-D35F-4C67-97AB-EF9BCF77CB04</t>
  </si>
  <si>
    <t>6411020</t>
  </si>
  <si>
    <t>6FCB3232-553E-46DF-BACB-BF31DA18F18B</t>
  </si>
  <si>
    <t>54954</t>
  </si>
  <si>
    <t>FC24B</t>
  </si>
  <si>
    <t>CEPE801220SS5</t>
  </si>
  <si>
    <t>EDILBERTO CERVANTES PEDRAZA</t>
  </si>
  <si>
    <t>53ce8258-983a-4386-9759-2fe7c5cfd27e</t>
  </si>
  <si>
    <t>90300</t>
  </si>
  <si>
    <t>PBI</t>
  </si>
  <si>
    <t>199039940</t>
  </si>
  <si>
    <t>CCO8605231N4</t>
  </si>
  <si>
    <t>CADENA COMERCIAL OXXO, SA DE CV</t>
  </si>
  <si>
    <t>42151909 | 50131700 | 50131700 | 50181905 | 50181905 | 53131503</t>
  </si>
  <si>
    <t>79761EC4-7060-4B70-816D-2B368F099776</t>
  </si>
  <si>
    <t>11000</t>
  </si>
  <si>
    <t>FW</t>
  </si>
  <si>
    <t>2086770</t>
  </si>
  <si>
    <t>AAN051220835</t>
  </si>
  <si>
    <t>AUTOPISTA ARCO NORTE, SA DE CV</t>
  </si>
  <si>
    <t>SEGURIDAD PARA LA INDUSTRIA Y MEDIO AMBIENTE, SA</t>
  </si>
  <si>
    <t>95111603</t>
  </si>
  <si>
    <t>38e27f88-a983-4723-b62b-69cb5d3ca4d7</t>
  </si>
  <si>
    <t>200003445738</t>
  </si>
  <si>
    <t>27244F7E-09B3-4311-875F-A9DA160FEB25</t>
  </si>
  <si>
    <t>55024</t>
  </si>
  <si>
    <t>B</t>
  </si>
  <si>
    <t>1852019</t>
  </si>
  <si>
    <t>CME030219B64</t>
  </si>
  <si>
    <t>Concesionaria Mexiquense, S.A. DE C.V.</t>
  </si>
  <si>
    <t>34B20291-7BE1-4D6F-8A2E-9442D64181ED</t>
  </si>
  <si>
    <t>55700</t>
  </si>
  <si>
    <t>IWANF</t>
  </si>
  <si>
    <t>289485</t>
  </si>
  <si>
    <t>NWM9709244W4</t>
  </si>
  <si>
    <t>Nueva Wal Mart de México, S. de R. L. de C.V.</t>
  </si>
  <si>
    <t>SEGURIDAD PARA LA INDUSTRIA Y MEDIO AMBIENTE, SA DE CV</t>
  </si>
  <si>
    <t>50181901 | 50112009 | 50131800 | 50202308 | 50202308 | 50131800 | 50202300 | 50202300 | 01010101</t>
  </si>
  <si>
    <t>2BAB4F55-E27B-4289-8FC1-E8E15DF98D2D</t>
  </si>
  <si>
    <t>NORMAL</t>
  </si>
  <si>
    <t>75968</t>
  </si>
  <si>
    <t>HRP990930QS3</t>
  </si>
  <si>
    <t>HOTEL Y RESTAURANT LA POSADA SA DE CV</t>
  </si>
  <si>
    <t>90111501 | 91111603 | 01010101</t>
  </si>
  <si>
    <t>de0fa8ef-2422-4992-8413-6bd9b3d1f45f</t>
  </si>
  <si>
    <t>200003448789</t>
  </si>
  <si>
    <t>69360B32-27DE-4485-8C59-6B154AB737CA</t>
  </si>
  <si>
    <t>2087614</t>
  </si>
  <si>
    <t>5B2C13A9-B162-7F40-9C9A-DCED1BF50D84</t>
  </si>
  <si>
    <t>42111</t>
  </si>
  <si>
    <t>G</t>
  </si>
  <si>
    <t>391</t>
  </si>
  <si>
    <t>RTL170509B83</t>
  </si>
  <si>
    <t>RESTAURANTES TU LUNCH SAS DE CV</t>
  </si>
  <si>
    <t>SEGURIDAD PARA LA INDUSTRIA Y MEDIO AMBIENTE S.A. DE C.V.</t>
  </si>
  <si>
    <t>90101500</t>
  </si>
  <si>
    <t>F33FDB6F-4B0E-4047-A17B-21A18D63C1C2</t>
  </si>
  <si>
    <t>FC24B-E</t>
  </si>
  <si>
    <t>E</t>
  </si>
  <si>
    <t>EGRESO</t>
  </si>
  <si>
    <t>F1FF4D22-D36C-46D7-95B7-5785E033645F</t>
  </si>
  <si>
    <t>9724B595-D1EB-40D1-ADFC-C0D900C6D34E</t>
  </si>
  <si>
    <t>6634484</t>
  </si>
  <si>
    <t>AAE050309FM0</t>
  </si>
  <si>
    <t>ABC Aerolíneas S.A. de C.V</t>
  </si>
  <si>
    <t>78111500 | 78111500 | 78111500</t>
  </si>
  <si>
    <t>194D836B-FAFC-4765-A587-C01646882631</t>
  </si>
  <si>
    <t>52928</t>
  </si>
  <si>
    <t>IXXD</t>
  </si>
  <si>
    <t>229</t>
  </si>
  <si>
    <t>CAMJ5411138J3</t>
  </si>
  <si>
    <t>JOSE CALIXTO MORALES</t>
  </si>
  <si>
    <t>797C7365-3DC3-4515-A44C-073C69CA29FF</t>
  </si>
  <si>
    <t>6591487</t>
  </si>
  <si>
    <t>C19430C2-597A-4E31-9763-FFA0371CF517</t>
  </si>
  <si>
    <t>52965</t>
  </si>
  <si>
    <t>HOTA</t>
  </si>
  <si>
    <t>181</t>
  </si>
  <si>
    <t>PEAC6203168G4</t>
  </si>
  <si>
    <t>CARLOS OCTAVIO PEREZ ARGUELLO</t>
  </si>
  <si>
    <t>SEGURIDAD PARA LA INDUSTRIA Y MEDIO AMBIENTE, S.A. DE C..V</t>
  </si>
  <si>
    <t>1c72fde3-4a6c-4c39-b85e-41f6ea84a269</t>
  </si>
  <si>
    <t>03100</t>
  </si>
  <si>
    <t>SB</t>
  </si>
  <si>
    <t>102786</t>
  </si>
  <si>
    <t>AAS990615C38</t>
  </si>
  <si>
    <t>ADMINISTRADORA DE ACTIVOS Y SERVICIOS SA DE CV</t>
  </si>
  <si>
    <t>15101506</t>
  </si>
  <si>
    <t>9c0511a2-b5aa-4037-a785-e316e1944a9e</t>
  </si>
  <si>
    <t>102788</t>
  </si>
  <si>
    <t>F2D6FBCC-FAB3-468A-AA14-FB10F50E181C</t>
  </si>
  <si>
    <t>LWE</t>
  </si>
  <si>
    <t>750185</t>
  </si>
  <si>
    <t>DLI931201MI9</t>
  </si>
  <si>
    <t>Distribuidora Liverpool S.A. de C.V.</t>
  </si>
  <si>
    <t>52152002</t>
  </si>
  <si>
    <t>AD3C20F6-CD0A-4E3B-9C15-B7D3004CCCCE</t>
  </si>
  <si>
    <t>750186</t>
  </si>
  <si>
    <t>25111903</t>
  </si>
  <si>
    <t>2B82EF0F-8C0B-471B-B440-A8D9362CB82E</t>
  </si>
  <si>
    <t>750188</t>
  </si>
  <si>
    <t>56141602 | 48101905</t>
  </si>
  <si>
    <t>596F58A2-E4D0-43EB-A63F-B7E4FD3FED07</t>
  </si>
  <si>
    <t>15400</t>
  </si>
  <si>
    <t>2229</t>
  </si>
  <si>
    <t>AORJ650908QN8</t>
  </si>
  <si>
    <t>JAVIER AMBROSIO ROSADO</t>
  </si>
  <si>
    <t>14B1CE22-0652-4342-95A6-A75930E01E6D</t>
  </si>
  <si>
    <t>6614477</t>
  </si>
  <si>
    <t>F329590A-EB1C-4F5D-BA70-45839016D73D</t>
  </si>
  <si>
    <t>5528</t>
  </si>
  <si>
    <t>WME0903036V9</t>
  </si>
  <si>
    <t>WIS DE MEXICO SA DE CV</t>
  </si>
  <si>
    <t>DE523C8F-C641-4422-94E7-A7D41AE1B448</t>
  </si>
  <si>
    <t>05100</t>
  </si>
  <si>
    <t>18F4A</t>
  </si>
  <si>
    <t>576</t>
  </si>
  <si>
    <t>SACG641201Q6A</t>
  </si>
  <si>
    <t>GERMAN FRANCISCO SARRALDE</t>
  </si>
  <si>
    <t>FAEC8479-4EE2-47F5-9B4E-6EEB1A50FC4E</t>
  </si>
  <si>
    <t>6717727</t>
  </si>
  <si>
    <t>C7783A27-1046-4A98-8767-01C609CADA08</t>
  </si>
  <si>
    <t>6766880</t>
  </si>
  <si>
    <t>fe682ba1-3ac4-4bef-9a46-f1893d391377</t>
  </si>
  <si>
    <t>54080</t>
  </si>
  <si>
    <t>1249</t>
  </si>
  <si>
    <t>GOMR7101271L9</t>
  </si>
  <si>
    <t>MARIA DEL REFUGIO GOMEZ MARTINEZ</t>
  </si>
  <si>
    <t>SEGURIDAD PARA LA INDUSTRIA Y MEDIO AMBIENTE, S.A DE C.V</t>
  </si>
  <si>
    <t>90101500 | 90101500 | 90101500 | 90101500 | 90101500 | 90101500</t>
  </si>
  <si>
    <t>17327EE4-9D16-4F96-BC2E-98771D9FD986</t>
  </si>
  <si>
    <t>76147</t>
  </si>
  <si>
    <t>FA</t>
  </si>
  <si>
    <t>11971</t>
  </si>
  <si>
    <t>IEA9304265N2</t>
  </si>
  <si>
    <t>INGENIERIA Y ESTUDIOS AMBIENTALES S.A. DE C.V.</t>
  </si>
  <si>
    <t>60104200 | 60104200</t>
  </si>
  <si>
    <t>B13B93C2-2014-4386-B15A-3959C2E5193D</t>
  </si>
  <si>
    <t>57000</t>
  </si>
  <si>
    <t>3FDC9</t>
  </si>
  <si>
    <t>147</t>
  </si>
  <si>
    <t>EIRR610419T74</t>
  </si>
  <si>
    <t>RAUL CRESCENCIO ESPINOSA RAMIREZ</t>
  </si>
  <si>
    <t>21A74D8C-C2AF-4842-A03A-2E47EA3BB5D6</t>
  </si>
  <si>
    <t>64830</t>
  </si>
  <si>
    <t>0888196310</t>
  </si>
  <si>
    <t>BMN930209927</t>
  </si>
  <si>
    <t>BANCO MERCANTIL DEL NORTE SA INSTITUCION DE BANCA MULTIPLE GRUPO FINANCIERO BANORTE</t>
  </si>
  <si>
    <t>84121500</t>
  </si>
  <si>
    <t>20202-01-01 00:43:16</t>
  </si>
  <si>
    <t>RES</t>
  </si>
  <si>
    <t>ISR Retenido ART. 113-J LISR</t>
  </si>
  <si>
    <t>PROFESIONAL</t>
  </si>
  <si>
    <t>SALARIOS</t>
  </si>
  <si>
    <t>INTERESES</t>
  </si>
  <si>
    <t>INGRESO NO EXCEDA DE 3,500,000</t>
  </si>
  <si>
    <t>SUMA TOTAL</t>
  </si>
  <si>
    <t>(+)</t>
  </si>
  <si>
    <t>EJERCICIO 2019</t>
  </si>
  <si>
    <t>TOTAL CFDI FACTURADO</t>
  </si>
  <si>
    <t>AGAPES</t>
  </si>
  <si>
    <t>INGRESO NO EXCEDA DE $900,000</t>
  </si>
  <si>
    <t>NOTA: NO SE CONSIDERA IVA SOLO INGRESO SUBTOTAL</t>
  </si>
  <si>
    <t>ARTICULO 113-E SEXTO PARRAFO</t>
  </si>
  <si>
    <t>DIVIDENDOS</t>
  </si>
  <si>
    <t xml:space="preserve">OTROS INGRESOS </t>
  </si>
  <si>
    <t xml:space="preserve">PLATAFORMAS </t>
  </si>
  <si>
    <t>ENAGENACION DE BIENES</t>
  </si>
  <si>
    <t xml:space="preserve">SOCIOS, ACCIONISTAS NO SE PODRA INGRESAR A RESICO P.F. </t>
  </si>
  <si>
    <t xml:space="preserve">SUPUESTOS </t>
  </si>
  <si>
    <t xml:space="preserve">SOCIO A PARTE DE UNA SOCIEDAD MERCANTIL </t>
  </si>
  <si>
    <t xml:space="preserve">CONCLUSION: COMO ANALISIS PREVIO VERIFICAR SI EN EL EJERCICIO EXCEDERAN DE 3,500,000 Y OPTAR POR RESICO. SI SE ESPERA OBTENER UN RESULTADO MAYOR A LA CITADA CANTIDAD ANTERIOR TRIBUTAR CONFORME AL REGIMEN GENERAL DE LEY PERSONAS FISICAS Y EVITAR LA DOBLE TRIBUTACIÓN </t>
  </si>
  <si>
    <t>DECLARA SAT ISR (REGIMEN CONFIANZA) 2022</t>
  </si>
  <si>
    <t>ACTIVIDAD EMP.</t>
  </si>
  <si>
    <t>ALTA 01 ENERO 2022</t>
  </si>
  <si>
    <t>ACTIVIDA EMP.</t>
  </si>
  <si>
    <t>EJERCICIO FISCAL 2024</t>
  </si>
  <si>
    <t xml:space="preserve">YA PUEDO OPTAR POR TRIBUTAR EN RESICO </t>
  </si>
  <si>
    <t>RMF 3.13.6</t>
  </si>
  <si>
    <t xml:space="preserve">COMENTARIOS PREVIOS RIF Y PLATAFORMAS TECNOLOGICAS PAGOS DEFINITIVOS </t>
  </si>
  <si>
    <t xml:space="preserve">SUPUESTO INGRESOS / REGIMENES </t>
  </si>
  <si>
    <t>ASIMILADO CLASES ESCUELA</t>
  </si>
  <si>
    <t>SECTOR PRIMARIO</t>
  </si>
  <si>
    <t xml:space="preserve">INGRESO </t>
  </si>
  <si>
    <t>RETENCIONES</t>
  </si>
  <si>
    <t>ISR RESICO 1.25%</t>
  </si>
  <si>
    <t xml:space="preserve">IVA 2/3 PARTES </t>
  </si>
  <si>
    <t xml:space="preserve">TOTAL </t>
  </si>
  <si>
    <t>Artículo 113-J. Cuando los contribuyentes a que se refiere el artículo 113-E de esta Ley realicen actividades empresariales, profesionales u otorguen el uso o goce temporal de bienes, a personas morales, estas últimas deberán retener, como pago mensual, el monto que resulte de aplicar la tasa del 1.25% sobre el monto de los pagos que les efectúen, sin considerar el impuesto al valor agregado, debiendo proporcionar a los contribuyentes el comprobante fiscal en el que conste el monto del impuesto retenido, el cual deberá enterarse por dicha persona moral a más tardar el día 17 del mes inmediato posterior a aquél al que corresponda el pago.</t>
  </si>
  <si>
    <t>REGIMEN SIMPLIFICADO DE CONFIANZA RETENCIONES 113-J LISR</t>
  </si>
  <si>
    <t xml:space="preserve">ARTICULO 2a LIVA actividades a tasa 0%, Actividades Exentas Art. 9,15,20 y 25 LIVA </t>
  </si>
  <si>
    <t xml:space="preserve">AGAPES </t>
  </si>
  <si>
    <t xml:space="preserve">INGRESOS DEL SECTOR PRIMARIO </t>
  </si>
  <si>
    <t>INGRESO 2</t>
  </si>
  <si>
    <t>INGRESO 1</t>
  </si>
  <si>
    <t>INGRESOS DISTINTOS SECTOR PRIMARIO</t>
  </si>
  <si>
    <t>Las personas físicas que se dediquen exclusivamente a las actividades agrícolas, ganaderas, silvícolas o pesqueras, cuyos ingresos en el ejercicio no excedan de novecientos mil pesos efectivamente cobrados, no pagarán el impuesto sobre la renta por los ingresos provenientes de dichas actividades. En caso de que los referidos ingresos excedan dicho monto, a partir de la declaración mensual correspondiente se deberá pagar el impuesto conforme al Título IV, Capítulo II, Sección IV de esta Ley, en los términos que se determine mediante reglas de carácter general que al efecto emita el Servicio de Administración Tributaria. Para efectos del párrafo anterior, se considera que los contribuyentes se dedican exclusivamente a las actividades agrícolas, ganaderas, silvícolas o pesqueras cuando el total de sus ingresos representan el 100% por estas actividades</t>
  </si>
  <si>
    <t>INGRESOS 100% EXCLUSIVOS DEL SECTOR AGAPE</t>
  </si>
  <si>
    <t>SI</t>
  </si>
  <si>
    <t xml:space="preserve">SI </t>
  </si>
  <si>
    <t>TOTAL INGRESOS</t>
  </si>
  <si>
    <t>EXCEDE DEL LIMITE $900,000</t>
  </si>
  <si>
    <t xml:space="preserve">NO </t>
  </si>
  <si>
    <t>EXCLUSIVIDAD PARA PERTENECER EN EL SECTOR PRIMARIO. Una de las condicionantes para pertenecer y permanecer dentro de este sector es la EXCLUSIVIDAD, que lo manifiesta en el propio artículo 74. Se consideran contribuyentes dedicados exclusivamente a las actividades agrícolas, ganaderas, pesqueras o silvícolas, aquéllos cuyos ingresos por dichas actividades representan cuando menos el 90% de sus ingresos totales, sin incluir los ingresos por las enajenaciones de activos fijos o activos fijos y terrenos, de su propiedad que hubiesen estado afectos a su actividad.</t>
  </si>
  <si>
    <t>Art 74 LISR Fracc. III se deroga para el año 2022, (Personas Físicas). Beneficio de hasta por un monto de 40 veces el SMG (UMA)elevado al año que equivale a: $1’307,736.00 aproximadamente de ISR y por ello todas las PF de este régimen pasaran al RESICO</t>
  </si>
  <si>
    <t>PARA QUE UN CONTRIBUYENTE SE LE CONSIDERE QUE SE DEDICAN AL SECTOR PRIMARIO, SUS INGRESOS DEBEN SER DEL 100% DEL SECTOR PRIMARIO EXCLUSIVAMENTE</t>
  </si>
  <si>
    <t>INGRESO EXENTO</t>
  </si>
  <si>
    <t>TASA ISR ANUAL</t>
  </si>
  <si>
    <t>ISR A CARGO PERIODO</t>
  </si>
  <si>
    <t xml:space="preserve">AGAPES RESICO </t>
  </si>
  <si>
    <t xml:space="preserve">UN MEDICO DECIDE TRIBUTAR EN RESICO, SUS ACTIVIDADES ECONOMICAS SON LAS SIGUIENTES </t>
  </si>
  <si>
    <t>CONSULTA MEDICA</t>
  </si>
  <si>
    <t>FARMACIA</t>
  </si>
  <si>
    <t>FARMACIA/MEDICAMENTOS</t>
  </si>
  <si>
    <t>CALCULO DE PROPORCION DE IVA ACREDITABLE</t>
  </si>
  <si>
    <t>MEDICO CON ACTIVIDADES:</t>
  </si>
  <si>
    <t>TIPO DE INGRESO</t>
  </si>
  <si>
    <t>VALOR DE LAS ACTIVIDADES</t>
  </si>
  <si>
    <t>PROCENTAJE</t>
  </si>
  <si>
    <t>RESUMEN ANALITICO 1</t>
  </si>
  <si>
    <t>IMPORTE</t>
  </si>
  <si>
    <t>CALCULO DE PROPORCION 2</t>
  </si>
  <si>
    <t>CONSULTORIO</t>
  </si>
  <si>
    <t>EXENTO</t>
  </si>
  <si>
    <t>iva acreditable identificadoal 16%</t>
  </si>
  <si>
    <t>VALOR DE ACTIVIDADES GRAVADAS 16%</t>
  </si>
  <si>
    <t>MAS:</t>
  </si>
  <si>
    <t>iva acreditable identificado al 0%</t>
  </si>
  <si>
    <t>VALOR DE ACTIVIDADES GRAVADAS 0%</t>
  </si>
  <si>
    <t xml:space="preserve">CURSOS </t>
  </si>
  <si>
    <t>iva acreditable exento</t>
  </si>
  <si>
    <t>IGUAL:</t>
  </si>
  <si>
    <t xml:space="preserve">VALOR TOTAL DE ACTIVIDADES GRAVADAS </t>
  </si>
  <si>
    <t>iva acreditable no identificado</t>
  </si>
  <si>
    <t>ENTRE:</t>
  </si>
  <si>
    <t xml:space="preserve">VALOR TOTAL DE ACTIVIDADES   </t>
  </si>
  <si>
    <t>IGUAL</t>
  </si>
  <si>
    <t xml:space="preserve">PROPORCIÓN </t>
  </si>
  <si>
    <t xml:space="preserve">EROGACIONES </t>
  </si>
  <si>
    <t>TASA %</t>
  </si>
  <si>
    <t>TIPO</t>
  </si>
  <si>
    <t>IVA ACREDITABLE PROPORCIONAL 3</t>
  </si>
  <si>
    <t xml:space="preserve">IMPORTE </t>
  </si>
  <si>
    <t>RESUMEN 4</t>
  </si>
  <si>
    <t>RENTA DE CONSULTORIO</t>
  </si>
  <si>
    <t>IVA ACREDITABLE NO IDENTIFICADO</t>
  </si>
  <si>
    <t>IVA ACREDITABLE IDENTIFICADO AL 16%</t>
  </si>
  <si>
    <t>RENTA DE FARMACIA</t>
  </si>
  <si>
    <t>PROPORCIÓN</t>
  </si>
  <si>
    <t>IVA ACREDITABLE IDENTIFICADO AL 0%</t>
  </si>
  <si>
    <t>LINEA TELEFONO CONSULTORIO</t>
  </si>
  <si>
    <t xml:space="preserve">IGUAL: </t>
  </si>
  <si>
    <t>IVA ACREDITABLE PROPORCIONAL</t>
  </si>
  <si>
    <t>PAPELERIA (CURSOS)</t>
  </si>
  <si>
    <t>.</t>
  </si>
  <si>
    <t>HONORARIOS C.P.</t>
  </si>
  <si>
    <t>16%, 0% EXENTO</t>
  </si>
  <si>
    <t>CURSOS ONLINE</t>
  </si>
  <si>
    <t>COMPORTAMIENTO</t>
  </si>
  <si>
    <t xml:space="preserve">SALDO DE LIQUIDACION INICIAL </t>
  </si>
  <si>
    <t>SALDO DE OPERACIÓN FINAL</t>
  </si>
  <si>
    <t>CONSULTORES CONTABLES DE MEXICO</t>
  </si>
  <si>
    <t>DEPOSITOS/ABONOS (+)</t>
  </si>
  <si>
    <t>RETIROS/CARGOS (-)</t>
  </si>
  <si>
    <t>SALDO FINAL</t>
  </si>
  <si>
    <t>SALDO EN BANCOS</t>
  </si>
  <si>
    <t>(GASTOS)</t>
  </si>
  <si>
    <t>(INGRESOS)</t>
  </si>
  <si>
    <t>SALDO</t>
  </si>
  <si>
    <t>OPERACIÓN</t>
  </si>
  <si>
    <t>LIQUIDACION</t>
  </si>
  <si>
    <t>COD. DESCRIPCION INGR.</t>
  </si>
  <si>
    <t>COD. DESCRIPCION EGR.</t>
  </si>
  <si>
    <t>REFERENCIA</t>
  </si>
  <si>
    <t>CARGOS</t>
  </si>
  <si>
    <t>ABONOS</t>
  </si>
  <si>
    <t>pago por cuenta de tercero</t>
  </si>
  <si>
    <t>deposito en efectivo practi</t>
  </si>
  <si>
    <t>deposito realizo por spei 02214</t>
  </si>
  <si>
    <t>GASTOS PAGADOS POR TERCEROS</t>
  </si>
  <si>
    <t>SPEI ENVIADO BANORTE</t>
  </si>
  <si>
    <t>traspaso tarjeta empresarial</t>
  </si>
  <si>
    <t>SPEI BANAMEX</t>
  </si>
  <si>
    <t>pago a cuenta benet 5478}</t>
  </si>
  <si>
    <t>PAGO POR CUENTA A BANJIO</t>
  </si>
  <si>
    <t>deposito bancario practicaja bbva 1254</t>
  </si>
  <si>
    <t xml:space="preserve">SOPORTE DOCUMENTAL Y COMPROBATORIO POR LA OBTENCION DE NUESTROS INGRESOS </t>
  </si>
  <si>
    <t xml:space="preserve">INGRESO PROPIO DE MI ACTIVIDAD </t>
  </si>
  <si>
    <t>PRESTAMO BANCARIO</t>
  </si>
  <si>
    <t>TRASPASO ENTRE CUENTAS PROPIAS</t>
  </si>
  <si>
    <t xml:space="preserve">DEVOLUCION VIA TRANSFERENCIA </t>
  </si>
  <si>
    <t>DEPOSITO NO IDENTIFICADO</t>
  </si>
  <si>
    <t xml:space="preserve">CFDI GLOBAL </t>
  </si>
  <si>
    <t>CONTRATO FINANCIERO</t>
  </si>
  <si>
    <t>DOCUMENTACION / ESTADOS BANACARIOS/CFDI/NOTA DE CREDITO O CANCELACIÓN</t>
  </si>
  <si>
    <t xml:space="preserve">TRASPASO ENTRE CUENTAS/ ESTADOS BANACARIOS </t>
  </si>
  <si>
    <t>SUBSIDIO AL EMPLEO</t>
  </si>
  <si>
    <t xml:space="preserve">EXENTA IVA </t>
  </si>
  <si>
    <t xml:space="preserve">EXENTOS DE PAGAR RENTA </t>
  </si>
  <si>
    <t>ACTIVIDAD EMPRESARIAL (INDUSTRIAL, COMERCIAL)</t>
  </si>
  <si>
    <t>ACTIVIDAD EMPRESARIAL (COMISIONISTA)</t>
  </si>
  <si>
    <t>SERVICIO PROFESIONAL C.P.</t>
  </si>
  <si>
    <t>SERVICIO PROFESIONAL MEDICO</t>
  </si>
  <si>
    <t>USO O GOCE (LOCAL COMERCIAL, CASA HABITACION AMUEN+BLADA</t>
  </si>
  <si>
    <t>USO O GOCE TEMPORAL CASA HABITACION SIN MUEBLES</t>
  </si>
  <si>
    <t xml:space="preserve">VENTA DE GANADO 0 VERDURA </t>
  </si>
  <si>
    <t>EXENTA IVA</t>
  </si>
  <si>
    <t>EXENTA DE RETENCION A PARTIR DEL: 25 DE ABRIL 2022 VERSION ANTICIPADA NO RETENDRAN 1.25% POR HASTA INGRESOS EXCLISIVOS DE 900,000</t>
  </si>
  <si>
    <t xml:space="preserve">CONCEPTO DE DESCRIPCION DEL CFDI </t>
  </si>
  <si>
    <t xml:space="preserve">NO RETENCION IVA </t>
  </si>
  <si>
    <r>
      <t>“Los ingresos que ampara este comprobante se encuentran en el supuesto de exención a que se refiere el artículo 113-E, noveno párrafo de la Ley de ISR”.</t>
    </r>
    <r>
      <rPr>
        <b/>
        <i/>
        <sz val="9"/>
        <color rgb="FFFF0000"/>
        <rFont val="Arial"/>
        <family val="2"/>
      </rPr>
      <t> AD-3A</t>
    </r>
  </si>
  <si>
    <t xml:space="preserve">ENERO </t>
  </si>
  <si>
    <t xml:space="preserve">AGAPE RESICO </t>
  </si>
  <si>
    <t xml:space="preserve">RETENCION CFDI </t>
  </si>
  <si>
    <t xml:space="preserve">ACTIVIDAD EMPRESARIAL Y PROFESIONAL </t>
  </si>
  <si>
    <t>ACT. EMP. PROF.</t>
  </si>
  <si>
    <t xml:space="preserve">RESICO </t>
  </si>
  <si>
    <t>EJERCICIO 2023</t>
  </si>
  <si>
    <t>PRESENTAR 2 DECLARACIONES ANUALES</t>
  </si>
  <si>
    <t>1 DECLARACION ANUAL POR: ACT. EMP. Y PROF.</t>
  </si>
  <si>
    <t xml:space="preserve">2 DECLARACION RESICO </t>
  </si>
  <si>
    <t xml:space="preserve">ARRENDO BIENES INMUEBLES </t>
  </si>
  <si>
    <t>SOLICITAN CFDI</t>
  </si>
  <si>
    <t>1 CASA CANCUN</t>
  </si>
  <si>
    <t xml:space="preserve">TRANSFERENCIA </t>
  </si>
  <si>
    <t xml:space="preserve">FACTURA P.G. </t>
  </si>
  <si>
    <t>1 CASA CDMX</t>
  </si>
  <si>
    <t xml:space="preserve">EFECTIVO </t>
  </si>
  <si>
    <t>SI EMITE P.G.</t>
  </si>
  <si>
    <t>1 APARTAMENTO CDXM</t>
  </si>
  <si>
    <t xml:space="preserve">RENTA </t>
  </si>
  <si>
    <t>AL 31 DE DICIEMBRE 2021</t>
  </si>
  <si>
    <t>IVA A FAVOR</t>
  </si>
  <si>
    <t xml:space="preserve">REGIMEN GRAL . FISICAS </t>
  </si>
  <si>
    <t>VENTA DE DEPTOS.</t>
  </si>
  <si>
    <t>PAGA PERSONA MORAL SA DE CV INM.</t>
  </si>
  <si>
    <t>ACT. EMP. RESICO (COMISION VENTA DE DEPTSO</t>
  </si>
  <si>
    <t xml:space="preserve">ISR </t>
  </si>
  <si>
    <t>2/3 IVA</t>
  </si>
  <si>
    <t>ACT. EMPRESARIAL RESICO (VENDO PLUMONES)</t>
  </si>
  <si>
    <t>SI O NO</t>
  </si>
  <si>
    <t xml:space="preserve">SECTOR PRIMARIO P.M. </t>
  </si>
  <si>
    <t>CONTRIBUYENTE</t>
  </si>
  <si>
    <t xml:space="preserve">MAYO </t>
  </si>
  <si>
    <t>TOTAL INGRESOS OBTENIDOS POR ACTIVIDAD SECTOR PRIMARIO</t>
  </si>
  <si>
    <t>RESICO (AGAPE)</t>
  </si>
  <si>
    <t>3.13.30 RMF</t>
  </si>
  <si>
    <t>INGRESO VENTA DE ACTIVOS FIJOS O TERRENOS AFECTOS A LA ACTIVIDAD DEL SECTOR PRIMARIO</t>
  </si>
  <si>
    <t>3.13.31 RMF</t>
  </si>
  <si>
    <t xml:space="preserve">JUBILACIONES Y PENSIONES </t>
  </si>
  <si>
    <t>TOTAL DE INGRESOS OBTENIDOS POR EL CONTRIBUYENTE</t>
  </si>
  <si>
    <r>
      <t>TOTAL DE INGRESOS POR EL CONTRIBUYENTE S</t>
    </r>
    <r>
      <rPr>
        <sz val="11"/>
        <color rgb="FFFF0000"/>
        <rFont val="Calibri"/>
        <family val="2"/>
        <scheme val="minor"/>
      </rPr>
      <t>IN CONSIDERAR LOS INGRESOS OBTENIDOS POR VENTA DE ACTIVO FIJO Y TERRENOS AF</t>
    </r>
    <r>
      <rPr>
        <sz val="11"/>
        <color theme="1"/>
        <rFont val="Calibri"/>
        <family val="2"/>
        <scheme val="minor"/>
      </rPr>
      <t>ECTOS AL SECTOR PRIMARIO</t>
    </r>
  </si>
  <si>
    <t>EXCEDE DE LOS 900,000</t>
  </si>
  <si>
    <t>NO</t>
  </si>
  <si>
    <t>ESTIMULO EXCENCION</t>
  </si>
  <si>
    <t xml:space="preserve">DEVOLUCION, DESCUENTO O BONIFICACIÓN </t>
  </si>
  <si>
    <t>R.M.F.</t>
  </si>
  <si>
    <t>3.13.13</t>
  </si>
  <si>
    <t>PERDIDA FISCAL</t>
  </si>
  <si>
    <t>3.13.22</t>
  </si>
  <si>
    <t>ISR ANTES DE RETENCIONES Y P.P.</t>
  </si>
  <si>
    <t>EJERCICIO 2022</t>
  </si>
  <si>
    <t xml:space="preserve">SI PODRE RESICO </t>
  </si>
  <si>
    <t>NO PODRE RESICO</t>
  </si>
  <si>
    <t xml:space="preserve">2022 TUS INGRESOS NO SUPEREN LA CANTIDAD DE 3.5 MILLONES </t>
  </si>
  <si>
    <t>ISR PAGUE EN RESICO</t>
  </si>
  <si>
    <t>DEDUCCION FISCAL</t>
  </si>
  <si>
    <t>enero</t>
  </si>
  <si>
    <t>febrero</t>
  </si>
  <si>
    <t>marzo</t>
  </si>
  <si>
    <t>abril</t>
  </si>
  <si>
    <t>mayo</t>
  </si>
  <si>
    <t>junio</t>
  </si>
  <si>
    <t>julio</t>
  </si>
  <si>
    <t>resico</t>
  </si>
  <si>
    <t>sys</t>
  </si>
  <si>
    <t>interes</t>
  </si>
  <si>
    <t xml:space="preserve">AL 31 DE DICIEMBRE RIF </t>
  </si>
  <si>
    <t>AL 31 DE DICIEMBRE ACT. EMP. Y PROF</t>
  </si>
  <si>
    <t xml:space="preserve">IVA A FAVOR </t>
  </si>
  <si>
    <t xml:space="preserve">CON FECHA 01 DE ENERO CAMBIO AL RESICO </t>
  </si>
  <si>
    <t>2023 NO PODRE TRIBUTAR EN RESICO</t>
  </si>
  <si>
    <t>PAGO FEBRERO</t>
  </si>
  <si>
    <t>C.R.P.</t>
  </si>
  <si>
    <t xml:space="preserve">GASOLINA </t>
  </si>
  <si>
    <t>SUBTOTAL</t>
  </si>
  <si>
    <t xml:space="preserve">SALARIOS + RESICO </t>
  </si>
  <si>
    <t>BASE</t>
  </si>
  <si>
    <t xml:space="preserve">NO PAGAN ISR </t>
  </si>
  <si>
    <t>COMPLEMENTARIAS</t>
  </si>
  <si>
    <t>REGIMEN SIMPLIFICADO DE CONFIANZA 2023</t>
  </si>
  <si>
    <t>INGRESOS RESICO P.F.</t>
  </si>
  <si>
    <t xml:space="preserve">INGRESO RESICO P.M. </t>
  </si>
  <si>
    <t xml:space="preserve">MES </t>
  </si>
  <si>
    <t>ISR SIMPLIFICADO DE CONFIANZA. PERSONAS FISICAS</t>
  </si>
  <si>
    <t>TOTAL DE INGRESOS EFECTIVAMENTE COBRADOS</t>
  </si>
  <si>
    <t xml:space="preserve">DESCUENTO, DEVOLUCION O BONIFICACIÓN </t>
  </si>
  <si>
    <t>INGRESOS A DISMINUIR</t>
  </si>
  <si>
    <t>INGRESO ADICIONAL</t>
  </si>
  <si>
    <t xml:space="preserve">TOTAL INGRESO MES </t>
  </si>
  <si>
    <t xml:space="preserve">Descripción: </t>
  </si>
  <si>
    <t>articulo 9 *LIVA* FRACCIÓN IV. No se pagará el impuesto en la enajenación de los siguientes bienes: Bienes muebles usados, a excepción de los enajenados por empresas, derivado de lo anterior el automovil se adquirio como persona fisica sueldos y salarios, se enajenara como regimen sueldos y salarios, ya que el automovil nunca fue afecto a una actividad empresarial como lo marca el articulo 16 *CFF*</t>
  </si>
  <si>
    <t>4 millones 500 mil</t>
  </si>
  <si>
    <t xml:space="preserve">escrituración </t>
  </si>
  <si>
    <t xml:space="preserve">vender en 2 o 3 años </t>
  </si>
  <si>
    <t>problema a futuro</t>
  </si>
  <si>
    <t>JORNADA NOTARIAL</t>
  </si>
  <si>
    <t>EFECTIVO</t>
  </si>
  <si>
    <t xml:space="preserve">NUMERO DE NOTARIO </t>
  </si>
  <si>
    <t xml:space="preserve">NUMERO CATASTRAL </t>
  </si>
  <si>
    <t>IVA NO ACREDITABLE</t>
  </si>
  <si>
    <t>IVA ACREDITABLE POR ACTIVIDADES MIXTAS</t>
  </si>
  <si>
    <t>COMPRA DE VERDURA</t>
  </si>
  <si>
    <t>Consultores Contables México</t>
  </si>
  <si>
    <t>YOUTUBE:</t>
  </si>
  <si>
    <t>https://www.youtube.com/@consultorescontablesmexico5398/videos</t>
  </si>
  <si>
    <t>DESCARGA DE MANERA GRATUITA PAPELES DE TRABAJO EN EXCEL Y MATERIAL DE NUESTROS CURSOS EN NUESTRA PAGINA WEB:</t>
  </si>
  <si>
    <t>https://www.consultorescontablesmx.com/about-5</t>
  </si>
  <si>
    <t xml:space="preserve">CURSOS GRATUITOS Y VIDEOS TUTORIALES </t>
  </si>
  <si>
    <t>CURSO RESICO PERSONAS FISICAS</t>
  </si>
  <si>
    <t xml:space="preserve">RESICO PERSONAS FISICAS DECLARACIÓN </t>
  </si>
  <si>
    <t>CURSO PRIMA DE RIESGO DE TRABAJO</t>
  </si>
  <si>
    <t>CURSO REPSE, ICSOE Y SISUB</t>
  </si>
  <si>
    <t>CURSO AGAPE PERSONA MORAL</t>
  </si>
  <si>
    <t xml:space="preserve">CURSO AGAPE PERSONAS FISICAS </t>
  </si>
  <si>
    <t xml:space="preserve">CURSO REDUCCION DE MI COEFICIENTE DE UTILIDAD </t>
  </si>
  <si>
    <t>REGLAS MISCELANEAS FISCALES 2023</t>
  </si>
  <si>
    <t>CURSO REGISTRO AL REPSE</t>
  </si>
  <si>
    <t>(165) RESICO CURSO 15 HORAS - YouTube</t>
  </si>
  <si>
    <t>(165) PRIMA DE RIESGO DE TRABAJO CURSO 2023 - YouTube</t>
  </si>
  <si>
    <t>(165) REPSE, ICSOE Y SISUB CURSO 2023 - YouTube</t>
  </si>
  <si>
    <t>(165) CURSO RESOLUCION MISCELANEA FISCAL 2023. 1/2 - YouTube</t>
  </si>
  <si>
    <t>(165) AGAPES PERSONA MORAL ✅ CURSO PRACTICO - YouTube</t>
  </si>
  <si>
    <t>(165) AGAPES CURSO PERSONAS FISICAS - YouTube</t>
  </si>
  <si>
    <t>(165) CURSO REDUCCIÓN DEL COEFICIENTE DE UTILIDAD 2022 - YouTube</t>
  </si>
  <si>
    <t>(165) REGISTRO AL REPSE PASO A PASO - YouTube</t>
  </si>
  <si>
    <t>MI PRIMER CURSO DE CONTABILIDAD 336</t>
  </si>
  <si>
    <t>(172) MI PRIMER CURSO DE CONTABILIDAD CLASE 01 - YouTube</t>
  </si>
  <si>
    <t>MI PRIMER CURSO DE CONTABILIDAD PARTE 2</t>
  </si>
  <si>
    <t>(172) MI PRIMER CURSO DE CONTABILIDAD PARTE 2 - YouTube</t>
  </si>
  <si>
    <t>CURSO DEVOLUCION ISR E IVA</t>
  </si>
  <si>
    <t>(172) CURSO DEVOLUCIONES ISR E IVA 100% PRACTICO - YouTube</t>
  </si>
  <si>
    <t>CURSO OUTSOURCING REFORMA LABORAL</t>
  </si>
  <si>
    <t>(172) OUTSOURCING, INSOURCING REFORMAS FISCALES 2021 - YouTube</t>
  </si>
  <si>
    <t>CURSO ACTIVIDAD EMPRESARIAL Y PROFESIONAL</t>
  </si>
  <si>
    <t>(172) CURSO ACTIVIDAD EMPRESARIAL Y PROFESIONAL - YouTube</t>
  </si>
  <si>
    <t xml:space="preserve">CURSO CALCULO DE PTU </t>
  </si>
  <si>
    <t>(172) CURSO CALCULO DE PTU CON REFORMAS FISCALES 2021 - YouTube</t>
  </si>
  <si>
    <t xml:space="preserve">CURSO PLATAFORMAS TECNOLOGICAS </t>
  </si>
  <si>
    <t>(172) PLATAFORMAS TECNOLOGICAS CURSO 2023 - YouTube</t>
  </si>
  <si>
    <t xml:space="preserve">CURSO DE IMPUESTOS PERSONAS MORALES </t>
  </si>
  <si>
    <t xml:space="preserve">MI PRIMER CURSO DE NOMINA </t>
  </si>
  <si>
    <t>MI PRIMER CURSO ASPEL COI</t>
  </si>
  <si>
    <t>(172) 🔥CURSO DE NOMINA EN EXCEL Y SAT🔥|ACTUALIZADO|✅ - YouTube</t>
  </si>
  <si>
    <t>(172) ✅ASPEL COI CURSO ACTUALIZADO 🔥BLOQUE 1/5🔥 - YouTube</t>
  </si>
  <si>
    <t>(172) 🔥CURSO IMPUESTOS PERSONAS MORALES🔥 BLOQUE 1/2 - YouTube</t>
  </si>
  <si>
    <t>TALLER DE LLENADO DECLARACIÓN ANUAL P.F.</t>
  </si>
  <si>
    <t>(172) TALLER DE LLENADO DECLARACION ANUAL DE PERSONAS FISICAS 2021 - YouTube</t>
  </si>
  <si>
    <t>RESICO P.F.</t>
  </si>
  <si>
    <t>PERSONA MORAL</t>
  </si>
  <si>
    <t>ISR 1.25%</t>
  </si>
  <si>
    <t>IVA RET. RLIVA 3</t>
  </si>
  <si>
    <t>(179) DECLARACIÓN RESICO PERSONAS FISICAS PASO A PASO - YouTube</t>
  </si>
  <si>
    <t xml:space="preserve">CLICK AL VIDEO TUTORIAL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</si>
</sst>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8" formatCode="&quot;$&quot;#,##0.00;[Red]\-&quot;$&quot;#,##0.00"/>
    <numFmt numFmtId="44" formatCode="_-&quot;$&quot;* #,##0.00_-;\-&quot;$&quot;* #,##0.00_-;_-&quot;$&quot;* &quot;-&quot;??_-;_-@_-"/>
    <numFmt numFmtId="43" formatCode="_-* #,##0.00_-;\-* #,##0.00_-;_-* &quot;-&quot;??_-;_-@_-"/>
    <numFmt numFmtId="164" formatCode="#,##0.00_ ;[Red]\-#,##0.00\ "/>
    <numFmt numFmtId="165" formatCode="_-&quot;$&quot;* #,##0_-;\-&quot;$&quot;* #,##0_-;_-&quot;$&quot;* &quot;-&quot;??_-;_-@_-"/>
    <numFmt numFmtId="166" formatCode="0.0000"/>
  </numFmts>
  <fonts count="99" x14ac:knownFonts="1">
    <font>
      <sz val="11"/>
      <color theme="1"/>
      <name val="Calibri"/>
      <family val="2"/>
      <scheme val="minor"/>
    </font>
    <font>
      <sz val="11"/>
      <color theme="1"/>
      <name val="Calibri"/>
      <family val="2"/>
      <scheme val="minor"/>
    </font>
    <font>
      <b/>
      <sz val="10"/>
      <name val="Arial"/>
      <family val="2"/>
    </font>
    <font>
      <b/>
      <sz val="9"/>
      <color indexed="9"/>
      <name val="Arial"/>
      <family val="2"/>
    </font>
    <font>
      <sz val="10"/>
      <name val="Arial"/>
      <family val="2"/>
    </font>
    <font>
      <sz val="10"/>
      <color theme="0"/>
      <name val="Arial"/>
      <family val="2"/>
    </font>
    <font>
      <sz val="9"/>
      <name val="Arial"/>
      <family val="2"/>
    </font>
    <font>
      <b/>
      <sz val="9"/>
      <name val="Arial"/>
      <family val="2"/>
    </font>
    <font>
      <sz val="10"/>
      <name val="Arial"/>
      <family val="2"/>
    </font>
    <font>
      <sz val="11"/>
      <color indexed="8"/>
      <name val="Calibri"/>
      <family val="2"/>
    </font>
    <font>
      <b/>
      <sz val="10"/>
      <color indexed="9"/>
      <name val="Arial"/>
      <family val="2"/>
    </font>
    <font>
      <sz val="8"/>
      <name val="Arial"/>
      <family val="2"/>
    </font>
    <font>
      <sz val="9"/>
      <color indexed="8"/>
      <name val="Arial"/>
      <family val="2"/>
    </font>
    <font>
      <sz val="8"/>
      <color indexed="8"/>
      <name val="Calibri"/>
      <family val="2"/>
    </font>
    <font>
      <b/>
      <sz val="8"/>
      <name val="Arial"/>
      <family val="2"/>
    </font>
    <font>
      <b/>
      <sz val="10"/>
      <color theme="0"/>
      <name val="Arial"/>
      <family val="2"/>
    </font>
    <font>
      <sz val="11"/>
      <name val="Arial"/>
      <family val="2"/>
    </font>
    <font>
      <b/>
      <sz val="12"/>
      <name val="Arial"/>
      <family val="2"/>
    </font>
    <font>
      <b/>
      <sz val="11"/>
      <color theme="0"/>
      <name val="Calibri"/>
      <family val="2"/>
      <scheme val="minor"/>
    </font>
    <font>
      <b/>
      <sz val="11"/>
      <color theme="1"/>
      <name val="Calibri"/>
      <family val="2"/>
      <scheme val="minor"/>
    </font>
    <font>
      <sz val="11"/>
      <color theme="0"/>
      <name val="Calibri"/>
      <family val="2"/>
      <scheme val="minor"/>
    </font>
    <font>
      <b/>
      <sz val="14"/>
      <color theme="4"/>
      <name val="Calibri"/>
      <family val="2"/>
      <scheme val="minor"/>
    </font>
    <font>
      <b/>
      <u/>
      <sz val="11"/>
      <color theme="1"/>
      <name val="Calibri"/>
      <family val="2"/>
      <scheme val="minor"/>
    </font>
    <font>
      <sz val="16"/>
      <color theme="1"/>
      <name val="Calibri"/>
      <family val="2"/>
      <scheme val="minor"/>
    </font>
    <font>
      <b/>
      <sz val="14"/>
      <color theme="1"/>
      <name val="Calibri"/>
      <family val="2"/>
      <scheme val="minor"/>
    </font>
    <font>
      <sz val="20"/>
      <color theme="1"/>
      <name val="Calibri"/>
      <family val="2"/>
      <scheme val="minor"/>
    </font>
    <font>
      <b/>
      <sz val="11"/>
      <color theme="0"/>
      <name val="Arial"/>
      <family val="2"/>
    </font>
    <font>
      <b/>
      <sz val="9"/>
      <color rgb="FF545454"/>
      <name val="Arial"/>
      <family val="2"/>
    </font>
    <font>
      <b/>
      <sz val="20"/>
      <color theme="0"/>
      <name val="Calibri"/>
      <family val="2"/>
      <scheme val="minor"/>
    </font>
    <font>
      <b/>
      <i/>
      <u/>
      <sz val="11"/>
      <color theme="1"/>
      <name val="Calibri"/>
      <family val="2"/>
      <scheme val="minor"/>
    </font>
    <font>
      <b/>
      <i/>
      <u/>
      <sz val="16"/>
      <color theme="1"/>
      <name val="Calibri"/>
      <family val="2"/>
      <scheme val="minor"/>
    </font>
    <font>
      <b/>
      <u/>
      <sz val="28"/>
      <color theme="0"/>
      <name val="Calibri"/>
      <family val="2"/>
      <scheme val="minor"/>
    </font>
    <font>
      <b/>
      <u/>
      <sz val="14"/>
      <name val="Calibri"/>
      <family val="2"/>
      <scheme val="minor"/>
    </font>
    <font>
      <b/>
      <u/>
      <sz val="16"/>
      <name val="Calibri"/>
      <family val="2"/>
      <scheme val="minor"/>
    </font>
    <font>
      <b/>
      <i/>
      <u val="singleAccounting"/>
      <sz val="14"/>
      <name val="Calibri"/>
      <family val="2"/>
      <scheme val="minor"/>
    </font>
    <font>
      <b/>
      <i/>
      <u val="singleAccounting"/>
      <sz val="14"/>
      <color theme="1"/>
      <name val="Calibri"/>
      <family val="2"/>
      <scheme val="minor"/>
    </font>
    <font>
      <b/>
      <i/>
      <sz val="11"/>
      <color theme="1"/>
      <name val="Calibri"/>
      <family val="2"/>
      <scheme val="minor"/>
    </font>
    <font>
      <b/>
      <u/>
      <sz val="11"/>
      <color rgb="FFFF0000"/>
      <name val="Calibri"/>
      <family val="2"/>
      <scheme val="minor"/>
    </font>
    <font>
      <sz val="14"/>
      <color theme="1"/>
      <name val="Arial Rounded MT Bold"/>
      <family val="2"/>
    </font>
    <font>
      <b/>
      <u/>
      <sz val="11"/>
      <color theme="0"/>
      <name val="Calibri"/>
      <family val="2"/>
      <scheme val="minor"/>
    </font>
    <font>
      <b/>
      <sz val="16"/>
      <color theme="1"/>
      <name val="Calibri"/>
      <family val="2"/>
      <scheme val="minor"/>
    </font>
    <font>
      <b/>
      <i/>
      <u val="singleAccounting"/>
      <sz val="12"/>
      <color theme="1"/>
      <name val="Calibri"/>
      <family val="2"/>
      <scheme val="minor"/>
    </font>
    <font>
      <b/>
      <i/>
      <u val="singleAccounting"/>
      <sz val="14"/>
      <color rgb="FFFF0000"/>
      <name val="Calibri"/>
      <family val="2"/>
      <scheme val="minor"/>
    </font>
    <font>
      <b/>
      <sz val="8"/>
      <color theme="0"/>
      <name val="Arial"/>
      <family val="2"/>
    </font>
    <font>
      <b/>
      <sz val="11"/>
      <color rgb="FFFF0000"/>
      <name val="Calibri"/>
      <family val="2"/>
      <scheme val="minor"/>
    </font>
    <font>
      <sz val="12"/>
      <color theme="1"/>
      <name val="Calibri"/>
      <family val="2"/>
      <scheme val="minor"/>
    </font>
    <font>
      <b/>
      <sz val="14"/>
      <color theme="0"/>
      <name val="Calibri"/>
      <family val="2"/>
      <scheme val="minor"/>
    </font>
    <font>
      <b/>
      <u/>
      <sz val="20"/>
      <color theme="1"/>
      <name val="Calibri"/>
      <family val="2"/>
      <scheme val="minor"/>
    </font>
    <font>
      <b/>
      <u val="singleAccounting"/>
      <sz val="11"/>
      <color theme="1"/>
      <name val="Calibri"/>
      <family val="2"/>
      <scheme val="minor"/>
    </font>
    <font>
      <b/>
      <u/>
      <sz val="12"/>
      <color theme="1"/>
      <name val="Calibri"/>
      <family val="2"/>
      <scheme val="minor"/>
    </font>
    <font>
      <b/>
      <sz val="11"/>
      <name val="Calibri"/>
      <family val="2"/>
      <scheme val="minor"/>
    </font>
    <font>
      <b/>
      <sz val="11"/>
      <color rgb="FF000000"/>
      <name val="Arial"/>
      <family val="2"/>
    </font>
    <font>
      <b/>
      <sz val="12"/>
      <color theme="1"/>
      <name val="Calibri"/>
      <family val="2"/>
      <scheme val="minor"/>
    </font>
    <font>
      <b/>
      <sz val="12"/>
      <color rgb="FF000000"/>
      <name val="Calibri"/>
      <family val="2"/>
    </font>
    <font>
      <b/>
      <i/>
      <u val="singleAccounting"/>
      <sz val="11"/>
      <color theme="1"/>
      <name val="Calibri"/>
      <family val="2"/>
      <scheme val="minor"/>
    </font>
    <font>
      <b/>
      <i/>
      <u/>
      <sz val="11"/>
      <color rgb="FFFF0000"/>
      <name val="Calibri"/>
      <family val="2"/>
      <scheme val="minor"/>
    </font>
    <font>
      <b/>
      <i/>
      <u val="singleAccounting"/>
      <sz val="11"/>
      <color rgb="FFFF0000"/>
      <name val="Calibri"/>
      <family val="2"/>
      <scheme val="minor"/>
    </font>
    <font>
      <b/>
      <i/>
      <u/>
      <sz val="14"/>
      <color theme="1"/>
      <name val="Calibri"/>
      <family val="2"/>
      <scheme val="minor"/>
    </font>
    <font>
      <b/>
      <i/>
      <u/>
      <sz val="20"/>
      <color theme="1"/>
      <name val="Calibri"/>
      <family val="2"/>
      <scheme val="minor"/>
    </font>
    <font>
      <b/>
      <u val="singleAccounting"/>
      <sz val="12"/>
      <color theme="1"/>
      <name val="Calibri"/>
      <family val="2"/>
      <scheme val="minor"/>
    </font>
    <font>
      <sz val="14"/>
      <color theme="1"/>
      <name val="Calibri"/>
      <family val="2"/>
      <scheme val="minor"/>
    </font>
    <font>
      <i/>
      <sz val="22"/>
      <color theme="1"/>
      <name val="Calibri"/>
      <family val="2"/>
      <scheme val="minor"/>
    </font>
    <font>
      <b/>
      <i/>
      <sz val="12"/>
      <color theme="1"/>
      <name val="Calibri"/>
      <family val="2"/>
      <scheme val="minor"/>
    </font>
    <font>
      <b/>
      <sz val="12"/>
      <color rgb="FF000000"/>
      <name val="Arial"/>
      <family val="2"/>
    </font>
    <font>
      <sz val="22"/>
      <color theme="1"/>
      <name val="Calibri"/>
      <family val="2"/>
      <scheme val="minor"/>
    </font>
    <font>
      <sz val="11"/>
      <color rgb="FFFF0000"/>
      <name val="Calibri"/>
      <family val="2"/>
      <scheme val="minor"/>
    </font>
    <font>
      <b/>
      <sz val="12"/>
      <name val="Calibri"/>
      <family val="2"/>
      <scheme val="minor"/>
    </font>
    <font>
      <b/>
      <sz val="12"/>
      <color rgb="FFFF0000"/>
      <name val="Calibri"/>
      <family val="2"/>
      <scheme val="minor"/>
    </font>
    <font>
      <sz val="12"/>
      <color rgb="FFFF0000"/>
      <name val="Calibri"/>
      <family val="2"/>
      <scheme val="minor"/>
    </font>
    <font>
      <sz val="18"/>
      <color theme="1"/>
      <name val="Calibri"/>
      <family val="2"/>
      <scheme val="minor"/>
    </font>
    <font>
      <sz val="14"/>
      <color rgb="FFFF0000"/>
      <name val="Calibri"/>
      <family val="2"/>
      <scheme val="minor"/>
    </font>
    <font>
      <sz val="20"/>
      <color rgb="FFFF0000"/>
      <name val="Calibri"/>
      <family val="2"/>
      <scheme val="minor"/>
    </font>
    <font>
      <b/>
      <sz val="14"/>
      <color rgb="FFFF0000"/>
      <name val="Calibri"/>
      <family val="2"/>
      <scheme val="minor"/>
    </font>
    <font>
      <b/>
      <sz val="16"/>
      <color rgb="FFFF0000"/>
      <name val="Calibri"/>
      <family val="2"/>
      <scheme val="minor"/>
    </font>
    <font>
      <sz val="20"/>
      <color theme="4"/>
      <name val="Calibri"/>
      <family val="2"/>
      <scheme val="minor"/>
    </font>
    <font>
      <sz val="14"/>
      <color theme="4"/>
      <name val="Calibri"/>
      <family val="2"/>
      <scheme val="minor"/>
    </font>
    <font>
      <sz val="9"/>
      <color rgb="FFFF0000"/>
      <name val="Arial"/>
      <family val="2"/>
    </font>
    <font>
      <b/>
      <i/>
      <sz val="9"/>
      <color rgb="FFFF0000"/>
      <name val="Arial"/>
      <family val="2"/>
    </font>
    <font>
      <b/>
      <sz val="18"/>
      <color theme="1"/>
      <name val="Calibri"/>
      <family val="2"/>
      <scheme val="minor"/>
    </font>
    <font>
      <b/>
      <i/>
      <sz val="11"/>
      <color rgb="FFFF0000"/>
      <name val="Calibri"/>
      <family val="2"/>
      <scheme val="minor"/>
    </font>
    <font>
      <u/>
      <sz val="11"/>
      <color theme="10"/>
      <name val="Calibri"/>
      <family val="2"/>
      <scheme val="minor"/>
    </font>
    <font>
      <b/>
      <i/>
      <u/>
      <sz val="11"/>
      <name val="Calibri"/>
      <family val="2"/>
      <scheme val="minor"/>
    </font>
    <font>
      <sz val="12"/>
      <name val="Calibri"/>
      <family val="2"/>
      <scheme val="minor"/>
    </font>
    <font>
      <b/>
      <i/>
      <u/>
      <sz val="12"/>
      <name val="Calibri"/>
      <family val="2"/>
      <scheme val="minor"/>
    </font>
    <font>
      <b/>
      <i/>
      <sz val="22"/>
      <name val="Calibri"/>
      <family val="2"/>
      <scheme val="minor"/>
    </font>
    <font>
      <b/>
      <sz val="14"/>
      <name val="Calibri"/>
      <family val="2"/>
      <scheme val="minor"/>
    </font>
    <font>
      <sz val="11"/>
      <name val="Calibri"/>
      <family val="2"/>
      <scheme val="minor"/>
    </font>
    <font>
      <sz val="22"/>
      <name val="Calibri"/>
      <family val="2"/>
      <scheme val="minor"/>
    </font>
    <font>
      <sz val="14"/>
      <name val="Calibri"/>
      <family val="2"/>
      <scheme val="minor"/>
    </font>
    <font>
      <b/>
      <sz val="12"/>
      <color theme="0"/>
      <name val="Calibri"/>
      <family val="2"/>
      <scheme val="minor"/>
    </font>
    <font>
      <b/>
      <sz val="28"/>
      <color theme="0"/>
      <name val="Calibri"/>
      <family val="2"/>
      <scheme val="minor"/>
    </font>
    <font>
      <b/>
      <i/>
      <sz val="14"/>
      <color rgb="FFFF0000"/>
      <name val="Calibri"/>
      <family val="2"/>
      <scheme val="minor"/>
    </font>
    <font>
      <b/>
      <i/>
      <sz val="14"/>
      <name val="Calibri"/>
      <family val="2"/>
      <scheme val="minor"/>
    </font>
    <font>
      <b/>
      <i/>
      <sz val="14"/>
      <color rgb="FFC00000"/>
      <name val="Calibri"/>
      <family val="2"/>
      <scheme val="minor"/>
    </font>
    <font>
      <sz val="48"/>
      <color rgb="FF0F0F0F"/>
      <name val="Arial"/>
      <family val="2"/>
    </font>
    <font>
      <u/>
      <sz val="16"/>
      <color theme="10"/>
      <name val="Calibri"/>
      <family val="2"/>
      <scheme val="minor"/>
    </font>
    <font>
      <b/>
      <i/>
      <sz val="16"/>
      <color theme="1"/>
      <name val="Calibri"/>
      <family val="2"/>
      <scheme val="minor"/>
    </font>
    <font>
      <b/>
      <i/>
      <sz val="22"/>
      <color theme="1"/>
      <name val="Calibri"/>
      <family val="2"/>
      <scheme val="minor"/>
    </font>
    <font>
      <b/>
      <u/>
      <sz val="22"/>
      <color theme="10"/>
      <name val="Calibri"/>
      <family val="2"/>
      <scheme val="minor"/>
    </font>
  </fonts>
  <fills count="27">
    <fill>
      <patternFill patternType="none"/>
    </fill>
    <fill>
      <patternFill patternType="gray125"/>
    </fill>
    <fill>
      <patternFill patternType="solid">
        <fgColor indexed="48"/>
        <bgColor indexed="64"/>
      </patternFill>
    </fill>
    <fill>
      <patternFill patternType="solid">
        <fgColor indexed="43"/>
        <bgColor indexed="64"/>
      </patternFill>
    </fill>
    <fill>
      <patternFill patternType="solid">
        <fgColor theme="0" tint="-0.14999847407452621"/>
        <bgColor indexed="64"/>
      </patternFill>
    </fill>
    <fill>
      <patternFill patternType="solid">
        <fgColor indexed="22"/>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9"/>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C00000"/>
        <bgColor indexed="64"/>
      </patternFill>
    </fill>
    <fill>
      <patternFill patternType="solid">
        <fgColor rgb="FFA90F3B"/>
        <bgColor indexed="64"/>
      </patternFill>
    </fill>
    <fill>
      <patternFill patternType="solid">
        <fgColor theme="6" tint="0.39997558519241921"/>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bottom style="double">
        <color indexed="64"/>
      </bottom>
      <diagonal/>
    </border>
    <border>
      <left/>
      <right/>
      <top style="double">
        <color indexed="64"/>
      </top>
      <bottom/>
      <diagonal/>
    </border>
    <border>
      <left/>
      <right/>
      <top style="double">
        <color indexed="64"/>
      </top>
      <bottom style="double">
        <color indexed="64"/>
      </bottom>
      <diagonal/>
    </border>
    <border>
      <left/>
      <right/>
      <top style="thin">
        <color indexed="64"/>
      </top>
      <bottom style="medium">
        <color indexed="64"/>
      </bottom>
      <diagonal/>
    </border>
    <border>
      <left style="hair">
        <color indexed="64"/>
      </left>
      <right style="hair">
        <color indexed="64"/>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80" fillId="0" borderId="0" applyNumberFormat="0" applyFill="0" applyBorder="0" applyAlignment="0" applyProtection="0"/>
  </cellStyleXfs>
  <cellXfs count="593">
    <xf numFmtId="0" fontId="0" fillId="0" borderId="0" xfId="0"/>
    <xf numFmtId="0" fontId="5" fillId="0" borderId="0" xfId="2" applyNumberFormat="1" applyFont="1" applyAlignment="1">
      <alignment horizontal="center"/>
    </xf>
    <xf numFmtId="44" fontId="0" fillId="0" borderId="0" xfId="2" applyFont="1" applyFill="1" applyBorder="1" applyAlignment="1">
      <alignment horizontal="center"/>
    </xf>
    <xf numFmtId="0" fontId="2" fillId="0" borderId="0" xfId="0" applyFont="1"/>
    <xf numFmtId="44" fontId="2" fillId="0" borderId="0" xfId="2" applyFont="1" applyAlignment="1">
      <alignment horizontal="center"/>
    </xf>
    <xf numFmtId="44" fontId="2" fillId="0" borderId="0" xfId="2" applyFont="1" applyFill="1" applyBorder="1" applyAlignment="1">
      <alignment horizontal="center"/>
    </xf>
    <xf numFmtId="0" fontId="6" fillId="0" borderId="0" xfId="0" applyFont="1"/>
    <xf numFmtId="165" fontId="0" fillId="0" borderId="0" xfId="2" applyNumberFormat="1" applyFont="1" applyAlignment="1">
      <alignment horizontal="center"/>
    </xf>
    <xf numFmtId="165" fontId="0" fillId="0" borderId="0" xfId="2" applyNumberFormat="1" applyFont="1" applyFill="1" applyBorder="1" applyAlignment="1">
      <alignment horizontal="center"/>
    </xf>
    <xf numFmtId="165" fontId="0" fillId="0" borderId="0" xfId="0" applyNumberFormat="1"/>
    <xf numFmtId="165" fontId="2" fillId="0" borderId="0" xfId="2" applyNumberFormat="1" applyFont="1" applyAlignment="1">
      <alignment horizontal="center"/>
    </xf>
    <xf numFmtId="165" fontId="2" fillId="0" borderId="0" xfId="2" applyNumberFormat="1" applyFont="1" applyFill="1" applyBorder="1" applyAlignment="1">
      <alignment horizontal="center"/>
    </xf>
    <xf numFmtId="165" fontId="2" fillId="0" borderId="1" xfId="0" applyNumberFormat="1" applyFont="1" applyBorder="1"/>
    <xf numFmtId="165" fontId="8" fillId="4" borderId="0" xfId="2" applyNumberFormat="1" applyFont="1" applyFill="1" applyAlignment="1">
      <alignment horizontal="center"/>
    </xf>
    <xf numFmtId="165" fontId="8" fillId="0" borderId="0" xfId="2" applyNumberFormat="1" applyFont="1" applyFill="1" applyAlignment="1">
      <alignment horizontal="center"/>
    </xf>
    <xf numFmtId="165" fontId="0" fillId="0" borderId="0" xfId="2" applyNumberFormat="1" applyFont="1" applyFill="1" applyAlignment="1">
      <alignment horizontal="center"/>
    </xf>
    <xf numFmtId="44" fontId="0" fillId="0" borderId="0" xfId="0" applyNumberFormat="1"/>
    <xf numFmtId="165" fontId="2" fillId="0" borderId="2" xfId="2" applyNumberFormat="1" applyFont="1" applyBorder="1" applyAlignment="1">
      <alignment horizontal="center"/>
    </xf>
    <xf numFmtId="165" fontId="2" fillId="0" borderId="1" xfId="2" applyNumberFormat="1" applyFont="1" applyFill="1" applyBorder="1" applyAlignment="1">
      <alignment horizontal="center"/>
    </xf>
    <xf numFmtId="165" fontId="9" fillId="0" borderId="0" xfId="2" applyNumberFormat="1" applyFont="1" applyFill="1" applyAlignment="1">
      <alignment horizontal="center"/>
    </xf>
    <xf numFmtId="165" fontId="9" fillId="0" borderId="0" xfId="2" applyNumberFormat="1" applyFont="1" applyFill="1" applyBorder="1" applyAlignment="1">
      <alignment horizontal="center"/>
    </xf>
    <xf numFmtId="165" fontId="0" fillId="0" borderId="3" xfId="2" applyNumberFormat="1" applyFont="1" applyBorder="1" applyAlignment="1">
      <alignment horizontal="center"/>
    </xf>
    <xf numFmtId="165" fontId="0" fillId="0" borderId="3" xfId="2" applyNumberFormat="1" applyFont="1" applyFill="1" applyBorder="1" applyAlignment="1">
      <alignment horizontal="center"/>
    </xf>
    <xf numFmtId="10" fontId="9" fillId="0" borderId="0" xfId="3" applyNumberFormat="1" applyFont="1" applyFill="1" applyAlignment="1">
      <alignment horizontal="center"/>
    </xf>
    <xf numFmtId="10" fontId="9" fillId="0" borderId="0" xfId="3" applyNumberFormat="1" applyFont="1" applyFill="1" applyBorder="1" applyAlignment="1">
      <alignment horizontal="center"/>
    </xf>
    <xf numFmtId="165" fontId="2" fillId="0" borderId="1" xfId="2" applyNumberFormat="1" applyFont="1" applyBorder="1" applyAlignment="1">
      <alignment horizontal="center"/>
    </xf>
    <xf numFmtId="165" fontId="2" fillId="0" borderId="4" xfId="2" applyNumberFormat="1" applyFont="1" applyBorder="1" applyAlignment="1">
      <alignment horizontal="center"/>
    </xf>
    <xf numFmtId="44" fontId="0" fillId="0" borderId="0" xfId="2" applyFont="1" applyAlignment="1">
      <alignment horizontal="center"/>
    </xf>
    <xf numFmtId="44" fontId="10" fillId="0" borderId="0" xfId="2" applyFont="1" applyAlignment="1">
      <alignment horizontal="center"/>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right" vertical="center" wrapText="1"/>
    </xf>
    <xf numFmtId="10" fontId="11" fillId="0" borderId="0" xfId="3" applyNumberFormat="1" applyFont="1" applyAlignment="1">
      <alignment horizontal="right" vertical="center" wrapText="1"/>
    </xf>
    <xf numFmtId="4" fontId="11" fillId="0" borderId="0" xfId="0" applyNumberFormat="1" applyFont="1" applyAlignment="1">
      <alignment horizontal="center" vertical="center" wrapText="1"/>
    </xf>
    <xf numFmtId="4" fontId="11" fillId="0" borderId="0" xfId="0" applyNumberFormat="1" applyFont="1" applyAlignment="1">
      <alignment horizontal="right" vertical="center" wrapText="1"/>
    </xf>
    <xf numFmtId="4" fontId="11" fillId="0" borderId="5" xfId="0" applyNumberFormat="1" applyFont="1" applyBorder="1" applyAlignment="1">
      <alignment horizontal="right" vertical="center" wrapText="1"/>
    </xf>
    <xf numFmtId="0" fontId="11" fillId="0" borderId="5" xfId="0" applyFont="1" applyBorder="1" applyAlignment="1">
      <alignment horizontal="right" vertical="center" wrapText="1"/>
    </xf>
    <xf numFmtId="10" fontId="11" fillId="0" borderId="5" xfId="3" applyNumberFormat="1" applyFont="1" applyBorder="1" applyAlignment="1">
      <alignment horizontal="right" vertical="center" wrapText="1"/>
    </xf>
    <xf numFmtId="4" fontId="11" fillId="0" borderId="5" xfId="0" applyNumberFormat="1" applyFont="1" applyBorder="1" applyAlignment="1">
      <alignment horizontal="center" vertical="center" wrapText="1"/>
    </xf>
    <xf numFmtId="0" fontId="12" fillId="0" borderId="7" xfId="0" applyFont="1" applyBorder="1" applyAlignment="1">
      <alignment horizontal="justify"/>
    </xf>
    <xf numFmtId="0" fontId="0" fillId="0" borderId="7" xfId="0" applyBorder="1"/>
    <xf numFmtId="0" fontId="11" fillId="0" borderId="6" xfId="0" applyFont="1" applyBorder="1" applyAlignment="1">
      <alignment horizontal="center" vertical="center"/>
    </xf>
    <xf numFmtId="0" fontId="0" fillId="0" borderId="0" xfId="0" applyAlignment="1">
      <alignment wrapText="1"/>
    </xf>
    <xf numFmtId="0" fontId="13" fillId="0" borderId="0" xfId="0" applyFont="1"/>
    <xf numFmtId="0" fontId="11" fillId="0" borderId="0" xfId="0" applyFont="1" applyAlignment="1">
      <alignment horizontal="justify" vertical="center"/>
    </xf>
    <xf numFmtId="0" fontId="2" fillId="0" borderId="0" xfId="0" applyFont="1" applyAlignment="1">
      <alignment horizontal="left"/>
    </xf>
    <xf numFmtId="0" fontId="5" fillId="0" borderId="0" xfId="0" applyFont="1"/>
    <xf numFmtId="165" fontId="0" fillId="0" borderId="0" xfId="4" applyNumberFormat="1" applyFont="1"/>
    <xf numFmtId="165" fontId="0" fillId="0" borderId="1" xfId="0" applyNumberFormat="1" applyBorder="1"/>
    <xf numFmtId="166" fontId="0" fillId="0" borderId="0" xfId="0" applyNumberFormat="1" applyAlignment="1">
      <alignment horizontal="center"/>
    </xf>
    <xf numFmtId="165" fontId="2" fillId="0" borderId="8" xfId="4" applyNumberFormat="1" applyFont="1" applyBorder="1"/>
    <xf numFmtId="0" fontId="4" fillId="0" borderId="0" xfId="0" applyFont="1"/>
    <xf numFmtId="165" fontId="0" fillId="0" borderId="0" xfId="4" applyNumberFormat="1" applyFont="1" applyBorder="1"/>
    <xf numFmtId="9" fontId="0" fillId="0" borderId="0" xfId="0" applyNumberFormat="1" applyAlignment="1">
      <alignment horizontal="center"/>
    </xf>
    <xf numFmtId="165" fontId="2" fillId="0" borderId="8" xfId="2" applyNumberFormat="1" applyFont="1" applyBorder="1"/>
    <xf numFmtId="165" fontId="2" fillId="0" borderId="3" xfId="4" applyNumberFormat="1" applyFont="1" applyBorder="1"/>
    <xf numFmtId="43" fontId="2" fillId="0" borderId="0" xfId="1" applyFont="1"/>
    <xf numFmtId="3" fontId="7" fillId="5" borderId="0" xfId="0" applyNumberFormat="1" applyFont="1" applyFill="1" applyAlignment="1">
      <alignment horizontal="center" vertical="top" wrapText="1"/>
    </xf>
    <xf numFmtId="0" fontId="2" fillId="0" borderId="0" xfId="0" applyFont="1" applyAlignment="1">
      <alignment horizontal="center"/>
    </xf>
    <xf numFmtId="0" fontId="16" fillId="0" borderId="9" xfId="0" applyFont="1" applyBorder="1"/>
    <xf numFmtId="4" fontId="0" fillId="0" borderId="0" xfId="0" applyNumberFormat="1"/>
    <xf numFmtId="4" fontId="16" fillId="0" borderId="0" xfId="0" applyNumberFormat="1" applyFont="1"/>
    <xf numFmtId="0" fontId="2" fillId="0" borderId="3" xfId="0" applyFont="1" applyBorder="1"/>
    <xf numFmtId="4" fontId="2" fillId="0" borderId="3" xfId="0" applyNumberFormat="1" applyFont="1" applyBorder="1"/>
    <xf numFmtId="4" fontId="2" fillId="0" borderId="0" xfId="0" applyNumberFormat="1" applyFont="1"/>
    <xf numFmtId="165" fontId="0" fillId="6" borderId="0" xfId="4" applyNumberFormat="1" applyFont="1" applyFill="1"/>
    <xf numFmtId="44" fontId="2" fillId="0" borderId="2" xfId="2" applyFont="1" applyBorder="1" applyAlignment="1">
      <alignment horizontal="center"/>
    </xf>
    <xf numFmtId="0" fontId="6" fillId="0" borderId="2" xfId="0" applyFont="1" applyBorder="1"/>
    <xf numFmtId="0" fontId="7" fillId="0" borderId="2" xfId="0" applyFont="1" applyBorder="1"/>
    <xf numFmtId="0" fontId="0" fillId="7" borderId="0" xfId="0" applyFill="1"/>
    <xf numFmtId="14" fontId="14" fillId="0" borderId="0" xfId="0" applyNumberFormat="1" applyFont="1" applyAlignment="1"/>
    <xf numFmtId="0" fontId="0" fillId="10" borderId="0" xfId="0" applyFill="1"/>
    <xf numFmtId="4" fontId="0" fillId="10" borderId="0" xfId="0" applyNumberFormat="1" applyFill="1"/>
    <xf numFmtId="44" fontId="0" fillId="0" borderId="0" xfId="2" applyFont="1"/>
    <xf numFmtId="9" fontId="0" fillId="0" borderId="0" xfId="0" applyNumberFormat="1"/>
    <xf numFmtId="0" fontId="0" fillId="0" borderId="2" xfId="0" applyBorder="1" applyAlignment="1">
      <alignment horizontal="center"/>
    </xf>
    <xf numFmtId="44" fontId="0" fillId="0" borderId="2" xfId="2" applyFont="1" applyBorder="1" applyAlignment="1">
      <alignment horizontal="center"/>
    </xf>
    <xf numFmtId="44" fontId="1" fillId="11" borderId="2" xfId="2" applyFont="1" applyFill="1" applyBorder="1" applyAlignment="1">
      <alignment horizontal="center"/>
    </xf>
    <xf numFmtId="9" fontId="0" fillId="0" borderId="2" xfId="3" applyFont="1" applyBorder="1" applyAlignment="1">
      <alignment horizontal="right"/>
    </xf>
    <xf numFmtId="44" fontId="0" fillId="11" borderId="2" xfId="0" applyNumberFormat="1" applyFill="1" applyBorder="1" applyAlignment="1">
      <alignment horizontal="center"/>
    </xf>
    <xf numFmtId="44" fontId="0" fillId="0" borderId="2" xfId="0" applyNumberFormat="1" applyBorder="1" applyAlignment="1">
      <alignment horizontal="center"/>
    </xf>
    <xf numFmtId="10" fontId="0" fillId="0" borderId="0" xfId="0" applyNumberFormat="1"/>
    <xf numFmtId="0" fontId="0" fillId="0" borderId="2" xfId="0" applyBorder="1"/>
    <xf numFmtId="0" fontId="0" fillId="0" borderId="0" xfId="0" applyBorder="1" applyAlignment="1">
      <alignment horizontal="center"/>
    </xf>
    <xf numFmtId="44" fontId="0" fillId="0" borderId="0" xfId="0" applyNumberFormat="1" applyBorder="1" applyAlignment="1">
      <alignment horizontal="center"/>
    </xf>
    <xf numFmtId="0" fontId="19" fillId="0" borderId="10" xfId="0" applyFont="1" applyBorder="1"/>
    <xf numFmtId="0" fontId="22" fillId="0" borderId="0" xfId="0" applyFont="1" applyAlignment="1">
      <alignment horizontal="center" vertical="center"/>
    </xf>
    <xf numFmtId="44" fontId="19" fillId="0" borderId="10" xfId="2" applyFont="1" applyBorder="1"/>
    <xf numFmtId="44" fontId="19" fillId="0" borderId="0" xfId="2" applyFont="1"/>
    <xf numFmtId="9" fontId="19" fillId="0" borderId="0" xfId="3" applyFont="1"/>
    <xf numFmtId="0" fontId="23" fillId="0" borderId="2" xfId="0" applyFont="1" applyBorder="1" applyAlignment="1">
      <alignment horizontal="center"/>
    </xf>
    <xf numFmtId="9" fontId="23" fillId="0" borderId="2" xfId="3" applyFont="1" applyBorder="1" applyAlignment="1">
      <alignment horizontal="right"/>
    </xf>
    <xf numFmtId="0" fontId="22" fillId="0" borderId="0" xfId="0" applyFont="1" applyAlignment="1">
      <alignment horizontal="center"/>
    </xf>
    <xf numFmtId="44" fontId="0" fillId="0" borderId="0" xfId="2" applyFont="1" applyBorder="1" applyAlignment="1">
      <alignment horizontal="center"/>
    </xf>
    <xf numFmtId="0" fontId="0" fillId="0" borderId="0" xfId="0"/>
    <xf numFmtId="0" fontId="0" fillId="14" borderId="0" xfId="0" applyFill="1"/>
    <xf numFmtId="0" fontId="2" fillId="14" borderId="0" xfId="0" applyFont="1" applyFill="1"/>
    <xf numFmtId="0" fontId="0" fillId="9" borderId="0" xfId="0" applyFill="1"/>
    <xf numFmtId="0" fontId="0" fillId="15" borderId="0" xfId="0" applyFill="1"/>
    <xf numFmtId="0" fontId="26" fillId="7" borderId="0" xfId="0" applyFont="1" applyFill="1" applyAlignment="1">
      <alignment horizontal="center"/>
    </xf>
    <xf numFmtId="44" fontId="0" fillId="14" borderId="0" xfId="2" applyFont="1" applyFill="1"/>
    <xf numFmtId="44" fontId="0" fillId="15" borderId="0" xfId="2" applyFont="1" applyFill="1"/>
    <xf numFmtId="44" fontId="0" fillId="9" borderId="0" xfId="2" applyFont="1" applyFill="1"/>
    <xf numFmtId="44" fontId="18" fillId="12" borderId="0" xfId="2" applyFont="1" applyFill="1"/>
    <xf numFmtId="44" fontId="27" fillId="15" borderId="0" xfId="2" applyFont="1" applyFill="1"/>
    <xf numFmtId="44" fontId="20" fillId="12" borderId="0" xfId="0" applyNumberFormat="1" applyFont="1" applyFill="1"/>
    <xf numFmtId="44" fontId="18" fillId="12" borderId="0" xfId="0" applyNumberFormat="1" applyFont="1" applyFill="1"/>
    <xf numFmtId="0" fontId="2" fillId="16" borderId="0" xfId="0" applyFont="1" applyFill="1"/>
    <xf numFmtId="0" fontId="0" fillId="16" borderId="0" xfId="0" applyFill="1"/>
    <xf numFmtId="44" fontId="0" fillId="16" borderId="0" xfId="2" applyFont="1" applyFill="1"/>
    <xf numFmtId="8" fontId="28" fillId="7" borderId="0" xfId="0" applyNumberFormat="1" applyFont="1" applyFill="1" applyAlignment="1">
      <alignment horizontal="center"/>
    </xf>
    <xf numFmtId="0" fontId="25" fillId="0" borderId="2" xfId="0" applyFont="1" applyBorder="1" applyAlignment="1">
      <alignment horizontal="center"/>
    </xf>
    <xf numFmtId="44" fontId="25" fillId="11" borderId="2" xfId="0" applyNumberFormat="1" applyFont="1" applyFill="1" applyBorder="1" applyAlignment="1">
      <alignment horizontal="center"/>
    </xf>
    <xf numFmtId="6" fontId="0" fillId="0" borderId="0" xfId="0" applyNumberFormat="1"/>
    <xf numFmtId="0" fontId="0" fillId="13" borderId="0" xfId="0" applyFill="1"/>
    <xf numFmtId="44" fontId="0" fillId="13" borderId="0" xfId="2" applyFont="1" applyFill="1"/>
    <xf numFmtId="0" fontId="2" fillId="0" borderId="0" xfId="0" applyFont="1" applyAlignment="1">
      <alignment horizontal="center"/>
    </xf>
    <xf numFmtId="0" fontId="0" fillId="0" borderId="0" xfId="0"/>
    <xf numFmtId="10" fontId="19" fillId="0" borderId="10" xfId="3" applyNumberFormat="1" applyFont="1" applyBorder="1"/>
    <xf numFmtId="10" fontId="19" fillId="0" borderId="0" xfId="3" applyNumberFormat="1" applyFont="1"/>
    <xf numFmtId="10" fontId="19" fillId="11" borderId="0" xfId="3" applyNumberFormat="1" applyFont="1" applyFill="1"/>
    <xf numFmtId="0" fontId="0" fillId="0" borderId="0" xfId="0"/>
    <xf numFmtId="0" fontId="0" fillId="0" borderId="0" xfId="15" applyNumberFormat="1" applyFont="1"/>
    <xf numFmtId="0" fontId="0" fillId="0" borderId="0" xfId="15" applyNumberFormat="1" applyFont="1" applyBorder="1" applyAlignment="1">
      <alignment horizontal="center"/>
    </xf>
    <xf numFmtId="10" fontId="0" fillId="0" borderId="0" xfId="3" applyNumberFormat="1" applyFont="1" applyBorder="1" applyAlignment="1">
      <alignment horizontal="center"/>
    </xf>
    <xf numFmtId="0" fontId="0" fillId="0" borderId="0" xfId="0"/>
    <xf numFmtId="0" fontId="0" fillId="0" borderId="0" xfId="15" applyNumberFormat="1" applyFont="1"/>
    <xf numFmtId="0" fontId="32" fillId="0" borderId="2" xfId="0" applyFont="1" applyFill="1" applyBorder="1" applyAlignment="1">
      <alignment horizontal="center"/>
    </xf>
    <xf numFmtId="0" fontId="32" fillId="0" borderId="2" xfId="0" applyFont="1" applyFill="1" applyBorder="1" applyAlignment="1">
      <alignment horizontal="center" vertical="center"/>
    </xf>
    <xf numFmtId="0" fontId="33" fillId="0" borderId="2" xfId="0" applyFont="1" applyFill="1" applyBorder="1" applyAlignment="1">
      <alignment horizontal="center"/>
    </xf>
    <xf numFmtId="0" fontId="0" fillId="0" borderId="0" xfId="0" applyAlignment="1"/>
    <xf numFmtId="0" fontId="32" fillId="0" borderId="0" xfId="0" applyFont="1" applyFill="1" applyBorder="1" applyAlignment="1">
      <alignment horizontal="center"/>
    </xf>
    <xf numFmtId="44" fontId="24" fillId="0" borderId="0" xfId="0" applyNumberFormat="1" applyFont="1" applyAlignment="1"/>
    <xf numFmtId="0" fontId="2" fillId="13" borderId="0" xfId="0" applyFont="1" applyFill="1" applyAlignment="1">
      <alignment horizontal="center"/>
    </xf>
    <xf numFmtId="0" fontId="5" fillId="13" borderId="0" xfId="2" applyNumberFormat="1" applyFont="1" applyFill="1" applyAlignment="1">
      <alignment horizontal="center"/>
    </xf>
    <xf numFmtId="44" fontId="2" fillId="13" borderId="2" xfId="2" applyFont="1" applyFill="1" applyBorder="1" applyAlignment="1">
      <alignment horizontal="center"/>
    </xf>
    <xf numFmtId="44" fontId="19" fillId="13" borderId="0" xfId="2" applyFont="1" applyFill="1" applyAlignment="1">
      <alignment horizontal="center"/>
    </xf>
    <xf numFmtId="165" fontId="0" fillId="13" borderId="0" xfId="2" applyNumberFormat="1" applyFont="1" applyFill="1" applyBorder="1" applyAlignment="1">
      <alignment horizontal="center"/>
    </xf>
    <xf numFmtId="165" fontId="0" fillId="13" borderId="0" xfId="0" applyNumberFormat="1" applyFill="1"/>
    <xf numFmtId="165" fontId="2" fillId="13" borderId="0" xfId="2" applyNumberFormat="1" applyFont="1" applyFill="1" applyAlignment="1">
      <alignment horizontal="center"/>
    </xf>
    <xf numFmtId="165" fontId="2" fillId="13" borderId="0" xfId="2" applyNumberFormat="1" applyFont="1" applyFill="1" applyBorder="1" applyAlignment="1">
      <alignment horizontal="center"/>
    </xf>
    <xf numFmtId="165" fontId="2" fillId="13" borderId="1" xfId="0" applyNumberFormat="1" applyFont="1" applyFill="1" applyBorder="1"/>
    <xf numFmtId="165" fontId="0" fillId="13" borderId="0" xfId="2" applyNumberFormat="1" applyFont="1" applyFill="1" applyAlignment="1">
      <alignment horizontal="center"/>
    </xf>
    <xf numFmtId="165" fontId="4" fillId="13" borderId="0" xfId="2" applyNumberFormat="1" applyFont="1" applyFill="1" applyAlignment="1">
      <alignment horizontal="center"/>
    </xf>
    <xf numFmtId="44" fontId="0" fillId="13" borderId="0" xfId="0" applyNumberFormat="1" applyFill="1"/>
    <xf numFmtId="165" fontId="2" fillId="13" borderId="2" xfId="2" applyNumberFormat="1" applyFont="1" applyFill="1" applyBorder="1" applyAlignment="1">
      <alignment horizontal="center"/>
    </xf>
    <xf numFmtId="165" fontId="9" fillId="13" borderId="0" xfId="2" applyNumberFormat="1" applyFont="1" applyFill="1" applyAlignment="1">
      <alignment horizontal="center"/>
    </xf>
    <xf numFmtId="165" fontId="0" fillId="13" borderId="3" xfId="2" applyNumberFormat="1" applyFont="1" applyFill="1" applyBorder="1" applyAlignment="1">
      <alignment horizontal="center"/>
    </xf>
    <xf numFmtId="10" fontId="9" fillId="13" borderId="0" xfId="3" applyNumberFormat="1" applyFont="1" applyFill="1" applyAlignment="1">
      <alignment horizontal="center"/>
    </xf>
    <xf numFmtId="165" fontId="2" fillId="13" borderId="1" xfId="2" applyNumberFormat="1" applyFont="1" applyFill="1" applyBorder="1" applyAlignment="1">
      <alignment horizontal="center"/>
    </xf>
    <xf numFmtId="44" fontId="0" fillId="13" borderId="0" xfId="2" applyFont="1" applyFill="1" applyAlignment="1">
      <alignment horizontal="center"/>
    </xf>
    <xf numFmtId="44" fontId="10" fillId="13" borderId="0" xfId="2" applyFont="1" applyFill="1" applyAlignment="1">
      <alignment horizontal="center"/>
    </xf>
    <xf numFmtId="4" fontId="0" fillId="13" borderId="0" xfId="0" applyNumberFormat="1" applyFill="1"/>
    <xf numFmtId="44" fontId="34" fillId="8" borderId="2" xfId="2" applyFont="1" applyFill="1" applyBorder="1"/>
    <xf numFmtId="44" fontId="35" fillId="8" borderId="2" xfId="2" applyFont="1" applyFill="1" applyBorder="1"/>
    <xf numFmtId="44" fontId="35" fillId="18" borderId="2" xfId="2" applyFont="1" applyFill="1" applyBorder="1"/>
    <xf numFmtId="0" fontId="37" fillId="0" borderId="0" xfId="0" applyFont="1"/>
    <xf numFmtId="0" fontId="38" fillId="0" borderId="0" xfId="0" applyFont="1" applyAlignment="1">
      <alignment vertical="center"/>
    </xf>
    <xf numFmtId="0" fontId="0" fillId="13" borderId="0" xfId="0" applyFill="1" applyAlignment="1">
      <alignment horizontal="center"/>
    </xf>
    <xf numFmtId="0" fontId="0" fillId="13" borderId="0" xfId="0" applyFill="1" applyAlignment="1">
      <alignment horizontal="right"/>
    </xf>
    <xf numFmtId="43" fontId="0" fillId="0" borderId="0" xfId="0" applyNumberFormat="1"/>
    <xf numFmtId="44" fontId="0" fillId="0" borderId="2" xfId="2" applyFont="1" applyBorder="1" applyAlignment="1"/>
    <xf numFmtId="10" fontId="0" fillId="0" borderId="2" xfId="0" applyNumberFormat="1" applyBorder="1" applyAlignment="1"/>
    <xf numFmtId="0" fontId="39" fillId="7" borderId="2" xfId="0" applyFont="1" applyFill="1" applyBorder="1" applyAlignment="1">
      <alignment horizontal="center" vertical="center" wrapText="1"/>
    </xf>
    <xf numFmtId="0" fontId="39" fillId="7" borderId="2" xfId="0" applyFont="1" applyFill="1" applyBorder="1" applyAlignment="1">
      <alignment horizontal="center" vertical="center"/>
    </xf>
    <xf numFmtId="0" fontId="19" fillId="0" borderId="0" xfId="0" applyFont="1"/>
    <xf numFmtId="43" fontId="20" fillId="0" borderId="0" xfId="0" applyNumberFormat="1" applyFont="1"/>
    <xf numFmtId="43" fontId="41" fillId="0" borderId="0" xfId="0" applyNumberFormat="1" applyFont="1"/>
    <xf numFmtId="44" fontId="36" fillId="0" borderId="0" xfId="2" applyFont="1"/>
    <xf numFmtId="44" fontId="0" fillId="0" borderId="0" xfId="2" applyFont="1" applyFill="1" applyBorder="1"/>
    <xf numFmtId="9" fontId="0" fillId="0" borderId="0" xfId="3" applyFont="1"/>
    <xf numFmtId="44" fontId="0" fillId="13" borderId="0" xfId="2" applyFont="1" applyFill="1" applyBorder="1" applyAlignment="1">
      <alignment horizontal="center"/>
    </xf>
    <xf numFmtId="0" fontId="2" fillId="13" borderId="0" xfId="0" applyFont="1" applyFill="1"/>
    <xf numFmtId="44" fontId="2" fillId="13" borderId="0" xfId="2" applyFont="1" applyFill="1" applyBorder="1" applyAlignment="1">
      <alignment horizontal="center"/>
    </xf>
    <xf numFmtId="0" fontId="6" fillId="13" borderId="2" xfId="0" applyFont="1" applyFill="1" applyBorder="1"/>
    <xf numFmtId="0" fontId="7" fillId="13" borderId="2" xfId="0" applyFont="1" applyFill="1" applyBorder="1"/>
    <xf numFmtId="0" fontId="6" fillId="13" borderId="0" xfId="0" applyFont="1" applyFill="1"/>
    <xf numFmtId="165" fontId="9" fillId="13" borderId="0" xfId="2" applyNumberFormat="1" applyFont="1" applyFill="1" applyBorder="1" applyAlignment="1">
      <alignment horizontal="center"/>
    </xf>
    <xf numFmtId="10" fontId="9" fillId="13" borderId="0" xfId="3" applyNumberFormat="1" applyFont="1" applyFill="1" applyBorder="1" applyAlignment="1">
      <alignment horizontal="center"/>
    </xf>
    <xf numFmtId="165" fontId="2" fillId="13" borderId="4" xfId="2" applyNumberFormat="1" applyFont="1" applyFill="1" applyBorder="1" applyAlignment="1">
      <alignment horizontal="center"/>
    </xf>
    <xf numFmtId="9" fontId="4" fillId="13" borderId="0" xfId="3" applyFont="1" applyFill="1" applyAlignment="1">
      <alignment horizontal="center"/>
    </xf>
    <xf numFmtId="44" fontId="0" fillId="13" borderId="0" xfId="2" applyNumberFormat="1" applyFont="1"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44" fontId="34" fillId="12" borderId="2" xfId="2" applyFont="1" applyFill="1" applyBorder="1" applyAlignment="1">
      <alignment horizontal="center"/>
    </xf>
    <xf numFmtId="165" fontId="42" fillId="0" borderId="0" xfId="2" applyNumberFormat="1" applyFont="1"/>
    <xf numFmtId="44" fontId="2" fillId="0" borderId="0" xfId="4" applyFont="1" applyAlignment="1">
      <alignment horizontal="center"/>
    </xf>
    <xf numFmtId="44" fontId="14" fillId="0" borderId="0" xfId="4" applyFont="1" applyAlignment="1">
      <alignment horizontal="center" vertical="center"/>
    </xf>
    <xf numFmtId="165" fontId="0" fillId="0" borderId="0" xfId="4" applyNumberFormat="1" applyFont="1" applyAlignment="1">
      <alignment horizontal="center"/>
    </xf>
    <xf numFmtId="165" fontId="2" fillId="0" borderId="0" xfId="4" applyNumberFormat="1" applyFont="1" applyAlignment="1">
      <alignment horizontal="center"/>
    </xf>
    <xf numFmtId="165" fontId="4" fillId="0" borderId="0" xfId="4" applyNumberFormat="1" applyFont="1" applyAlignment="1">
      <alignment horizontal="center"/>
    </xf>
    <xf numFmtId="165" fontId="2" fillId="0" borderId="8" xfId="4" applyNumberFormat="1" applyFont="1" applyBorder="1" applyAlignment="1">
      <alignment horizontal="center"/>
    </xf>
    <xf numFmtId="165" fontId="2" fillId="0" borderId="2" xfId="4" applyNumberFormat="1" applyFont="1" applyBorder="1" applyAlignment="1">
      <alignment horizontal="center"/>
    </xf>
    <xf numFmtId="165" fontId="1" fillId="0" borderId="0" xfId="4" applyNumberFormat="1" applyFont="1" applyFill="1" applyAlignment="1">
      <alignment horizontal="center"/>
    </xf>
    <xf numFmtId="165" fontId="0" fillId="0" borderId="3" xfId="4" applyNumberFormat="1" applyFont="1" applyBorder="1" applyAlignment="1">
      <alignment horizontal="center"/>
    </xf>
    <xf numFmtId="10" fontId="1" fillId="0" borderId="0" xfId="3" applyNumberFormat="1" applyFont="1" applyFill="1" applyAlignment="1">
      <alignment horizontal="center"/>
    </xf>
    <xf numFmtId="9" fontId="0" fillId="0" borderId="0" xfId="3" applyFont="1" applyAlignment="1">
      <alignment horizontal="center"/>
    </xf>
    <xf numFmtId="0" fontId="15" fillId="0" borderId="0" xfId="0" applyFont="1"/>
    <xf numFmtId="165" fontId="2" fillId="0" borderId="1" xfId="4" applyNumberFormat="1" applyFont="1" applyBorder="1" applyAlignment="1">
      <alignment horizontal="center"/>
    </xf>
    <xf numFmtId="165" fontId="5" fillId="0" borderId="0" xfId="0" applyNumberFormat="1" applyFont="1"/>
    <xf numFmtId="44" fontId="5" fillId="0" borderId="0" xfId="4" applyFont="1" applyAlignment="1">
      <alignment horizontal="center"/>
    </xf>
    <xf numFmtId="9" fontId="2" fillId="0" borderId="0" xfId="0" applyNumberFormat="1" applyFont="1" applyAlignment="1">
      <alignment horizontal="center"/>
    </xf>
    <xf numFmtId="0" fontId="43" fillId="0" borderId="0" xfId="0" applyFont="1" applyAlignment="1">
      <alignment horizontal="center"/>
    </xf>
    <xf numFmtId="44" fontId="43" fillId="0" borderId="0" xfId="4" applyFont="1" applyAlignment="1">
      <alignment horizontal="center"/>
    </xf>
    <xf numFmtId="0" fontId="0" fillId="0" borderId="0" xfId="3" applyNumberFormat="1" applyFont="1" applyAlignment="1">
      <alignment horizontal="right" wrapText="1"/>
    </xf>
    <xf numFmtId="0" fontId="37" fillId="0" borderId="0" xfId="4" applyNumberFormat="1" applyFont="1" applyAlignment="1">
      <alignment horizontal="center"/>
    </xf>
    <xf numFmtId="0" fontId="44" fillId="0" borderId="0" xfId="0" applyFont="1" applyAlignment="1">
      <alignment horizontal="center"/>
    </xf>
    <xf numFmtId="14" fontId="22" fillId="0" borderId="0" xfId="0" applyNumberFormat="1" applyFont="1"/>
    <xf numFmtId="44" fontId="48" fillId="0" borderId="0" xfId="2" applyFont="1"/>
    <xf numFmtId="16" fontId="0" fillId="0" borderId="0" xfId="0" applyNumberFormat="1"/>
    <xf numFmtId="0" fontId="49" fillId="0" borderId="0" xfId="0" applyFont="1"/>
    <xf numFmtId="0" fontId="45" fillId="0" borderId="0" xfId="0" applyFont="1"/>
    <xf numFmtId="0" fontId="45" fillId="0" borderId="0" xfId="0" quotePrefix="1" applyFont="1"/>
    <xf numFmtId="4" fontId="0" fillId="0" borderId="11" xfId="0" applyNumberFormat="1" applyBorder="1"/>
    <xf numFmtId="9" fontId="0" fillId="0" borderId="11" xfId="0" applyNumberFormat="1" applyBorder="1"/>
    <xf numFmtId="4" fontId="0" fillId="0" borderId="3" xfId="0" applyNumberFormat="1" applyBorder="1"/>
    <xf numFmtId="44" fontId="36" fillId="13" borderId="0" xfId="2" applyFont="1" applyFill="1"/>
    <xf numFmtId="44" fontId="36" fillId="0" borderId="2" xfId="2" applyFont="1" applyBorder="1"/>
    <xf numFmtId="0" fontId="0" fillId="11" borderId="0" xfId="0" applyFill="1" applyAlignment="1">
      <alignment horizontal="center"/>
    </xf>
    <xf numFmtId="0" fontId="0" fillId="8" borderId="0" xfId="0" applyFill="1" applyAlignment="1">
      <alignment horizontal="center"/>
    </xf>
    <xf numFmtId="0" fontId="0" fillId="11" borderId="0" xfId="0" applyFill="1" applyAlignment="1">
      <alignment horizontal="center" vertical="center" wrapText="1"/>
    </xf>
    <xf numFmtId="0" fontId="0" fillId="11" borderId="0" xfId="0" applyFill="1" applyAlignment="1">
      <alignment horizontal="center"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0" xfId="0" applyFill="1"/>
    <xf numFmtId="0" fontId="32" fillId="0" borderId="2" xfId="0" applyFont="1" applyFill="1" applyBorder="1" applyAlignment="1">
      <alignment horizontal="center"/>
    </xf>
    <xf numFmtId="0" fontId="33" fillId="0" borderId="2" xfId="0" applyFont="1" applyFill="1" applyBorder="1" applyAlignment="1">
      <alignment horizontal="center"/>
    </xf>
    <xf numFmtId="0" fontId="32" fillId="0" borderId="16" xfId="0" applyFont="1" applyFill="1" applyBorder="1" applyAlignment="1">
      <alignment horizontal="center"/>
    </xf>
    <xf numFmtId="0" fontId="44" fillId="0" borderId="0" xfId="0" applyFont="1" applyFill="1" applyProtection="1"/>
    <xf numFmtId="22" fontId="44" fillId="0" borderId="0" xfId="0" applyNumberFormat="1" applyFont="1" applyFill="1" applyProtection="1"/>
    <xf numFmtId="44" fontId="44" fillId="0" borderId="0" xfId="2" applyFont="1" applyFill="1" applyProtection="1"/>
    <xf numFmtId="0" fontId="44" fillId="0" borderId="0" xfId="0" applyFont="1"/>
    <xf numFmtId="44" fontId="50" fillId="0" borderId="0" xfId="2" applyFont="1" applyFill="1" applyProtection="1"/>
    <xf numFmtId="0" fontId="19" fillId="0" borderId="0" xfId="0" applyFont="1" applyFill="1" applyProtection="1"/>
    <xf numFmtId="22" fontId="19" fillId="0" borderId="0" xfId="0" applyNumberFormat="1" applyFont="1" applyFill="1" applyProtection="1"/>
    <xf numFmtId="44" fontId="19" fillId="0" borderId="0" xfId="2" applyFont="1" applyFill="1" applyProtection="1"/>
    <xf numFmtId="44" fontId="34" fillId="13" borderId="2" xfId="2" applyFont="1" applyFill="1" applyBorder="1"/>
    <xf numFmtId="0" fontId="33" fillId="0" borderId="0" xfId="0" applyFont="1" applyFill="1" applyBorder="1" applyAlignment="1">
      <alignment horizontal="center"/>
    </xf>
    <xf numFmtId="0" fontId="0" fillId="0" borderId="0" xfId="0" applyAlignment="1">
      <alignment horizontal="center"/>
    </xf>
    <xf numFmtId="0" fontId="0" fillId="6" borderId="0" xfId="0" applyFill="1"/>
    <xf numFmtId="44" fontId="0" fillId="6" borderId="0" xfId="2" applyFont="1" applyFill="1"/>
    <xf numFmtId="0" fontId="19" fillId="13" borderId="0" xfId="0" applyFont="1" applyFill="1"/>
    <xf numFmtId="44" fontId="19" fillId="13" borderId="0" xfId="0" applyNumberFormat="1" applyFont="1" applyFill="1"/>
    <xf numFmtId="0" fontId="29" fillId="13" borderId="0" xfId="0" applyFont="1" applyFill="1"/>
    <xf numFmtId="44" fontId="54" fillId="13" borderId="0" xfId="2" applyFont="1" applyFill="1"/>
    <xf numFmtId="0" fontId="0" fillId="0" borderId="0" xfId="0" applyAlignment="1">
      <alignment horizontal="center" wrapText="1"/>
    </xf>
    <xf numFmtId="0" fontId="55" fillId="13" borderId="0" xfId="0" applyFont="1" applyFill="1"/>
    <xf numFmtId="44" fontId="56" fillId="13" borderId="0" xfId="2" applyFont="1" applyFill="1"/>
    <xf numFmtId="165" fontId="52" fillId="0" borderId="0" xfId="0" applyNumberFormat="1" applyFont="1"/>
    <xf numFmtId="44" fontId="34" fillId="8" borderId="13" xfId="2" applyFont="1" applyFill="1" applyBorder="1"/>
    <xf numFmtId="44" fontId="34" fillId="8" borderId="10" xfId="2" applyFont="1" applyFill="1" applyBorder="1"/>
    <xf numFmtId="44" fontId="35" fillId="8" borderId="10" xfId="2" applyFont="1" applyFill="1" applyBorder="1"/>
    <xf numFmtId="44" fontId="34" fillId="8" borderId="14" xfId="2" applyFont="1" applyFill="1" applyBorder="1"/>
    <xf numFmtId="44" fontId="35" fillId="18" borderId="13" xfId="2" applyFont="1" applyFill="1" applyBorder="1"/>
    <xf numFmtId="44" fontId="34" fillId="8" borderId="0" xfId="2" applyFont="1" applyFill="1" applyBorder="1"/>
    <xf numFmtId="44" fontId="35" fillId="18" borderId="0" xfId="2" applyFont="1" applyFill="1" applyBorder="1"/>
    <xf numFmtId="44" fontId="35" fillId="13" borderId="2" xfId="2" applyFont="1" applyFill="1" applyBorder="1"/>
    <xf numFmtId="44" fontId="42" fillId="13" borderId="2" xfId="2" applyFont="1" applyFill="1" applyBorder="1"/>
    <xf numFmtId="44" fontId="34" fillId="8" borderId="0" xfId="2" applyFont="1" applyFill="1" applyBorder="1" applyAlignment="1">
      <alignment horizontal="center"/>
    </xf>
    <xf numFmtId="44" fontId="48" fillId="0" borderId="0" xfId="0" applyNumberFormat="1" applyFont="1"/>
    <xf numFmtId="44" fontId="59" fillId="0" borderId="0" xfId="0" applyNumberFormat="1" applyFont="1"/>
    <xf numFmtId="0" fontId="60" fillId="0" borderId="0" xfId="0" applyFont="1"/>
    <xf numFmtId="0" fontId="57" fillId="0" borderId="0" xfId="0" applyFont="1" applyAlignment="1">
      <alignment horizontal="center"/>
    </xf>
    <xf numFmtId="44" fontId="60" fillId="0" borderId="20" xfId="2" applyFont="1" applyBorder="1"/>
    <xf numFmtId="0" fontId="60" fillId="0" borderId="18" xfId="0" applyFont="1" applyBorder="1" applyAlignment="1">
      <alignment horizontal="left"/>
    </xf>
    <xf numFmtId="44" fontId="60" fillId="0" borderId="19" xfId="0" applyNumberFormat="1" applyFont="1" applyBorder="1" applyAlignment="1">
      <alignment horizontal="left"/>
    </xf>
    <xf numFmtId="0" fontId="60" fillId="0" borderId="18" xfId="0" applyFont="1" applyBorder="1"/>
    <xf numFmtId="0" fontId="60" fillId="0" borderId="0" xfId="0" applyFont="1" applyBorder="1"/>
    <xf numFmtId="44" fontId="60" fillId="0" borderId="19" xfId="0" applyNumberFormat="1" applyFont="1" applyBorder="1"/>
    <xf numFmtId="0" fontId="60" fillId="0" borderId="19" xfId="0" applyFont="1" applyBorder="1"/>
    <xf numFmtId="0" fontId="60" fillId="0" borderId="20" xfId="0" applyFont="1" applyBorder="1"/>
    <xf numFmtId="44" fontId="60" fillId="0" borderId="19" xfId="2" applyFont="1" applyBorder="1"/>
    <xf numFmtId="44" fontId="60" fillId="0" borderId="17" xfId="0" applyNumberFormat="1" applyFont="1" applyBorder="1"/>
    <xf numFmtId="44" fontId="57" fillId="0" borderId="0" xfId="2" applyFont="1" applyAlignment="1">
      <alignment horizontal="center"/>
    </xf>
    <xf numFmtId="44" fontId="60" fillId="6" borderId="20" xfId="2" applyFont="1" applyFill="1" applyBorder="1"/>
    <xf numFmtId="44" fontId="0" fillId="0" borderId="0" xfId="0" applyNumberFormat="1" applyAlignment="1">
      <alignment horizontal="center"/>
    </xf>
    <xf numFmtId="0" fontId="0" fillId="0" borderId="0" xfId="0" applyAlignment="1">
      <alignment vertical="center" wrapText="1"/>
    </xf>
    <xf numFmtId="44" fontId="0" fillId="0" borderId="0" xfId="0" applyNumberFormat="1" applyAlignment="1">
      <alignment vertical="center" wrapText="1"/>
    </xf>
    <xf numFmtId="9" fontId="0" fillId="0" borderId="0" xfId="0" applyNumberFormat="1" applyAlignment="1">
      <alignment vertical="center" wrapText="1"/>
    </xf>
    <xf numFmtId="44" fontId="0" fillId="0" borderId="2" xfId="2" applyFont="1" applyBorder="1" applyAlignment="1">
      <alignment horizontal="center"/>
    </xf>
    <xf numFmtId="0" fontId="19" fillId="0" borderId="0" xfId="0" applyFont="1" applyAlignment="1">
      <alignment horizontal="center"/>
    </xf>
    <xf numFmtId="0" fontId="0" fillId="0" borderId="0" xfId="0" applyAlignment="1">
      <alignment horizontal="center"/>
    </xf>
    <xf numFmtId="0" fontId="36" fillId="0" borderId="0" xfId="0" applyFont="1" applyAlignment="1">
      <alignment horizontal="center" vertical="center"/>
    </xf>
    <xf numFmtId="0" fontId="0" fillId="20" borderId="0" xfId="0" applyFill="1"/>
    <xf numFmtId="0" fontId="66" fillId="18" borderId="2" xfId="0" applyFont="1" applyFill="1" applyBorder="1" applyAlignment="1">
      <alignment horizontal="center" vertical="center"/>
    </xf>
    <xf numFmtId="44" fontId="66" fillId="7" borderId="23" xfId="2" applyFont="1" applyFill="1" applyBorder="1" applyAlignment="1">
      <alignment horizontal="center" vertical="center"/>
    </xf>
    <xf numFmtId="0" fontId="0" fillId="0" borderId="2" xfId="0" applyBorder="1" applyAlignment="1">
      <alignment horizontal="left"/>
    </xf>
    <xf numFmtId="9" fontId="0" fillId="0" borderId="2" xfId="0" applyNumberFormat="1" applyBorder="1" applyAlignment="1">
      <alignment horizontal="center"/>
    </xf>
    <xf numFmtId="0" fontId="66" fillId="13" borderId="17" xfId="0" applyFont="1" applyFill="1" applyBorder="1" applyAlignment="1">
      <alignment horizontal="center" vertical="center"/>
    </xf>
    <xf numFmtId="0" fontId="0" fillId="0" borderId="17" xfId="0" applyBorder="1"/>
    <xf numFmtId="44" fontId="0" fillId="0" borderId="17" xfId="2" applyFont="1" applyBorder="1" applyAlignment="1">
      <alignment horizontal="center"/>
    </xf>
    <xf numFmtId="44" fontId="19" fillId="0" borderId="2" xfId="2" applyFont="1" applyBorder="1" applyAlignment="1">
      <alignment horizontal="center"/>
    </xf>
    <xf numFmtId="9" fontId="19" fillId="0" borderId="2" xfId="2" applyNumberFormat="1" applyFont="1" applyBorder="1" applyAlignment="1">
      <alignment horizontal="center"/>
    </xf>
    <xf numFmtId="0" fontId="65" fillId="0" borderId="2" xfId="0" applyFont="1" applyBorder="1"/>
    <xf numFmtId="44" fontId="65" fillId="0" borderId="2" xfId="2" applyFont="1" applyBorder="1" applyAlignment="1">
      <alignment horizontal="center"/>
    </xf>
    <xf numFmtId="0" fontId="66" fillId="16" borderId="2" xfId="0" applyFont="1" applyFill="1" applyBorder="1"/>
    <xf numFmtId="0" fontId="66" fillId="16" borderId="2" xfId="0" applyFont="1" applyFill="1" applyBorder="1" applyAlignment="1">
      <alignment horizontal="center"/>
    </xf>
    <xf numFmtId="0" fontId="66" fillId="16" borderId="20" xfId="0" applyFont="1" applyFill="1" applyBorder="1" applyAlignment="1">
      <alignment horizontal="center"/>
    </xf>
    <xf numFmtId="0" fontId="0" fillId="7" borderId="25" xfId="0" applyFill="1" applyBorder="1" applyAlignment="1">
      <alignment horizontal="center" vertical="center"/>
    </xf>
    <xf numFmtId="0" fontId="0" fillId="0" borderId="2" xfId="0" applyFill="1" applyBorder="1" applyAlignment="1">
      <alignment horizontal="center"/>
    </xf>
    <xf numFmtId="44" fontId="0" fillId="0" borderId="17" xfId="2" applyFont="1" applyBorder="1"/>
    <xf numFmtId="44" fontId="0" fillId="0" borderId="2" xfId="2" applyFont="1" applyBorder="1"/>
    <xf numFmtId="0" fontId="19" fillId="0" borderId="0" xfId="0" applyFont="1" applyFill="1" applyBorder="1"/>
    <xf numFmtId="44" fontId="19" fillId="0" borderId="2" xfId="0" applyNumberFormat="1" applyFont="1" applyBorder="1" applyAlignment="1">
      <alignment horizontal="center"/>
    </xf>
    <xf numFmtId="44" fontId="67" fillId="0" borderId="2" xfId="0" applyNumberFormat="1" applyFont="1" applyBorder="1" applyAlignment="1">
      <alignment horizontal="center"/>
    </xf>
    <xf numFmtId="0" fontId="0" fillId="21" borderId="0" xfId="0" applyFill="1"/>
    <xf numFmtId="1" fontId="0" fillId="0" borderId="0" xfId="0" applyNumberFormat="1"/>
    <xf numFmtId="44" fontId="19" fillId="13" borderId="0" xfId="2" applyFont="1" applyFill="1" applyProtection="1"/>
    <xf numFmtId="0" fontId="51" fillId="19" borderId="0" xfId="0" applyFont="1" applyFill="1" applyBorder="1" applyAlignment="1">
      <alignment horizontal="center" vertical="center" wrapText="1" readingOrder="1"/>
    </xf>
    <xf numFmtId="0" fontId="51" fillId="19" borderId="0" xfId="0" applyFont="1" applyFill="1" applyBorder="1" applyAlignment="1">
      <alignment horizontal="left" vertical="center" wrapText="1" readingOrder="1"/>
    </xf>
    <xf numFmtId="0" fontId="51" fillId="13" borderId="0" xfId="0" applyFont="1" applyFill="1" applyBorder="1" applyAlignment="1">
      <alignment horizontal="center" vertical="center" wrapText="1" readingOrder="1"/>
    </xf>
    <xf numFmtId="0" fontId="19" fillId="0" borderId="0" xfId="0" applyFont="1" applyBorder="1" applyAlignment="1">
      <alignment horizontal="center"/>
    </xf>
    <xf numFmtId="44" fontId="19" fillId="0" borderId="0" xfId="0" applyNumberFormat="1" applyFont="1"/>
    <xf numFmtId="0" fontId="19" fillId="0" borderId="0" xfId="0" applyFont="1" applyAlignment="1"/>
    <xf numFmtId="0" fontId="0" fillId="11" borderId="18" xfId="0" applyFill="1" applyBorder="1"/>
    <xf numFmtId="0" fontId="0" fillId="11" borderId="0" xfId="0" applyFill="1"/>
    <xf numFmtId="44" fontId="0" fillId="11" borderId="19" xfId="2" applyFont="1" applyFill="1" applyBorder="1"/>
    <xf numFmtId="0" fontId="0" fillId="0" borderId="13" xfId="0" applyBorder="1"/>
    <xf numFmtId="0" fontId="0" fillId="0" borderId="10" xfId="0" applyBorder="1"/>
    <xf numFmtId="44" fontId="0" fillId="0" borderId="14" xfId="2" applyFont="1" applyBorder="1"/>
    <xf numFmtId="0" fontId="0" fillId="11" borderId="13" xfId="0" applyFill="1" applyBorder="1"/>
    <xf numFmtId="0" fontId="0" fillId="11" borderId="10" xfId="0" applyFill="1" applyBorder="1"/>
    <xf numFmtId="44" fontId="0" fillId="11" borderId="14" xfId="0" applyNumberFormat="1" applyFill="1" applyBorder="1"/>
    <xf numFmtId="0" fontId="0" fillId="12" borderId="13" xfId="0" applyFill="1" applyBorder="1"/>
    <xf numFmtId="0" fontId="0" fillId="12" borderId="10" xfId="0" applyFill="1" applyBorder="1"/>
    <xf numFmtId="44" fontId="0" fillId="12" borderId="14" xfId="2" applyFont="1" applyFill="1" applyBorder="1"/>
    <xf numFmtId="0" fontId="0" fillId="0" borderId="21" xfId="0" applyBorder="1"/>
    <xf numFmtId="0" fontId="0" fillId="0" borderId="22" xfId="0" applyBorder="1"/>
    <xf numFmtId="44" fontId="0" fillId="0" borderId="23" xfId="0" applyNumberFormat="1" applyBorder="1"/>
    <xf numFmtId="0" fontId="53" fillId="0" borderId="18" xfId="0" applyFont="1" applyFill="1" applyBorder="1"/>
    <xf numFmtId="0" fontId="53" fillId="0" borderId="0" xfId="0" applyFont="1"/>
    <xf numFmtId="44" fontId="53" fillId="0" borderId="0" xfId="0" applyNumberFormat="1" applyFont="1"/>
    <xf numFmtId="0" fontId="19" fillId="0" borderId="2" xfId="0" applyFont="1" applyBorder="1" applyAlignment="1">
      <alignment horizontal="center"/>
    </xf>
    <xf numFmtId="14" fontId="0" fillId="0" borderId="0" xfId="0" applyNumberFormat="1"/>
    <xf numFmtId="14" fontId="0" fillId="13" borderId="0" xfId="0" applyNumberFormat="1" applyFill="1"/>
    <xf numFmtId="0" fontId="36" fillId="0" borderId="0" xfId="0" applyFont="1"/>
    <xf numFmtId="44" fontId="36" fillId="0" borderId="0" xfId="0" applyNumberFormat="1" applyFont="1"/>
    <xf numFmtId="0" fontId="19" fillId="13" borderId="2" xfId="0" applyFont="1" applyFill="1" applyBorder="1" applyAlignment="1">
      <alignment horizontal="center"/>
    </xf>
    <xf numFmtId="44" fontId="50" fillId="13" borderId="0" xfId="2" applyFont="1" applyFill="1" applyProtection="1"/>
    <xf numFmtId="44" fontId="19" fillId="13" borderId="0" xfId="2" applyFont="1" applyFill="1"/>
    <xf numFmtId="0" fontId="65" fillId="0" borderId="0" xfId="0" applyFont="1"/>
    <xf numFmtId="44" fontId="44" fillId="13" borderId="0" xfId="2" applyFont="1" applyFill="1"/>
    <xf numFmtId="0" fontId="68" fillId="0" borderId="0" xfId="0" applyFont="1"/>
    <xf numFmtId="44" fontId="68" fillId="13" borderId="0" xfId="2" applyFont="1" applyFill="1"/>
    <xf numFmtId="44" fontId="67" fillId="13" borderId="0" xfId="2" applyFont="1" applyFill="1"/>
    <xf numFmtId="44" fontId="65" fillId="0" borderId="0" xfId="2" applyFont="1" applyAlignment="1"/>
    <xf numFmtId="44" fontId="65" fillId="13" borderId="0" xfId="0" applyNumberFormat="1" applyFont="1" applyFill="1"/>
    <xf numFmtId="0" fontId="19" fillId="0" borderId="0" xfId="0" applyFont="1" applyBorder="1" applyAlignment="1">
      <alignment horizontal="center"/>
    </xf>
    <xf numFmtId="0" fontId="19" fillId="13" borderId="0" xfId="0" applyFont="1" applyFill="1" applyAlignment="1">
      <alignment horizontal="left"/>
    </xf>
    <xf numFmtId="0" fontId="0" fillId="0" borderId="0" xfId="0" applyAlignment="1">
      <alignment horizontal="center"/>
    </xf>
    <xf numFmtId="0" fontId="19" fillId="6" borderId="2" xfId="0" applyFont="1" applyFill="1" applyBorder="1" applyAlignment="1">
      <alignment horizontal="center"/>
    </xf>
    <xf numFmtId="6" fontId="69" fillId="0" borderId="0" xfId="0" applyNumberFormat="1" applyFont="1"/>
    <xf numFmtId="44" fontId="60" fillId="6" borderId="18" xfId="2" applyFont="1" applyFill="1" applyBorder="1"/>
    <xf numFmtId="44" fontId="60" fillId="0" borderId="18" xfId="2" applyFont="1" applyBorder="1"/>
    <xf numFmtId="44" fontId="70" fillId="0" borderId="19" xfId="0" applyNumberFormat="1" applyFont="1" applyBorder="1"/>
    <xf numFmtId="44" fontId="73" fillId="6" borderId="20" xfId="2" applyFont="1" applyFill="1" applyBorder="1"/>
    <xf numFmtId="44" fontId="73" fillId="6" borderId="18" xfId="2" applyFont="1" applyFill="1" applyBorder="1"/>
    <xf numFmtId="0" fontId="60" fillId="0" borderId="20" xfId="0" applyFont="1" applyBorder="1" applyAlignment="1">
      <alignment horizontal="right"/>
    </xf>
    <xf numFmtId="44" fontId="75" fillId="0" borderId="18" xfId="0" applyNumberFormat="1" applyFont="1" applyBorder="1"/>
    <xf numFmtId="44" fontId="60" fillId="0" borderId="12" xfId="0" applyNumberFormat="1" applyFont="1" applyBorder="1"/>
    <xf numFmtId="15" fontId="0" fillId="0" borderId="0" xfId="0" applyNumberFormat="1"/>
    <xf numFmtId="3" fontId="0" fillId="0" borderId="0" xfId="0" applyNumberFormat="1"/>
    <xf numFmtId="17" fontId="0" fillId="0" borderId="0" xfId="0" applyNumberFormat="1"/>
    <xf numFmtId="44" fontId="65" fillId="0" borderId="0" xfId="0" applyNumberFormat="1" applyFont="1"/>
    <xf numFmtId="0" fontId="0" fillId="0" borderId="23" xfId="0" applyBorder="1"/>
    <xf numFmtId="0" fontId="0" fillId="0" borderId="0" xfId="0" applyBorder="1"/>
    <xf numFmtId="0" fontId="0" fillId="0" borderId="0" xfId="0" applyFill="1" applyBorder="1"/>
    <xf numFmtId="0" fontId="19" fillId="0" borderId="2" xfId="0" applyFont="1" applyBorder="1" applyAlignment="1">
      <alignment horizontal="center" vertical="center"/>
    </xf>
    <xf numFmtId="0" fontId="19" fillId="0" borderId="21" xfId="0" applyFont="1" applyBorder="1" applyAlignment="1">
      <alignment horizontal="center" vertical="center"/>
    </xf>
    <xf numFmtId="0" fontId="0" fillId="0" borderId="2" xfId="0" applyBorder="1" applyAlignment="1">
      <alignment horizontal="center" vertical="center" wrapText="1"/>
    </xf>
    <xf numFmtId="0" fontId="0" fillId="0" borderId="21" xfId="0" applyBorder="1" applyAlignment="1">
      <alignment horizontal="center" vertical="center" wrapText="1"/>
    </xf>
    <xf numFmtId="44" fontId="40" fillId="0" borderId="2" xfId="2" applyFont="1" applyBorder="1" applyAlignment="1">
      <alignment horizontal="center"/>
    </xf>
    <xf numFmtId="44" fontId="72" fillId="0" borderId="2" xfId="2" applyFont="1" applyBorder="1" applyAlignment="1">
      <alignment horizontal="center"/>
    </xf>
    <xf numFmtId="44" fontId="52" fillId="0" borderId="2" xfId="2" applyFont="1" applyBorder="1" applyAlignment="1">
      <alignment horizontal="center"/>
    </xf>
    <xf numFmtId="44" fontId="0" fillId="11" borderId="0" xfId="2" applyFont="1" applyFill="1"/>
    <xf numFmtId="3" fontId="0" fillId="13" borderId="0" xfId="0" applyNumberFormat="1" applyFill="1"/>
    <xf numFmtId="44" fontId="65" fillId="0" borderId="0" xfId="2" applyFont="1"/>
    <xf numFmtId="44" fontId="78" fillId="0" borderId="0" xfId="2" applyFont="1"/>
    <xf numFmtId="44" fontId="79" fillId="0" borderId="0" xfId="0" applyNumberFormat="1" applyFont="1" applyAlignment="1">
      <alignment wrapText="1"/>
    </xf>
    <xf numFmtId="0" fontId="79" fillId="0" borderId="0" xfId="0" applyFont="1" applyAlignment="1">
      <alignment wrapText="1"/>
    </xf>
    <xf numFmtId="44" fontId="29" fillId="0" borderId="0" xfId="0" applyNumberFormat="1" applyFont="1"/>
    <xf numFmtId="9" fontId="0" fillId="0" borderId="0" xfId="0" applyNumberFormat="1" applyBorder="1" applyAlignment="1">
      <alignment horizontal="center"/>
    </xf>
    <xf numFmtId="0" fontId="0" fillId="0" borderId="0" xfId="0" applyBorder="1" applyAlignment="1">
      <alignment horizontal="center" vertical="center"/>
    </xf>
    <xf numFmtId="3" fontId="65" fillId="0" borderId="0" xfId="0" applyNumberFormat="1" applyFont="1"/>
    <xf numFmtId="10" fontId="65" fillId="0" borderId="0" xfId="0" applyNumberFormat="1" applyFont="1"/>
    <xf numFmtId="10" fontId="79" fillId="13" borderId="0" xfId="3" applyNumberFormat="1" applyFont="1" applyFill="1"/>
    <xf numFmtId="10" fontId="0" fillId="12" borderId="2" xfId="0" applyNumberFormat="1" applyFill="1" applyBorder="1" applyAlignment="1"/>
    <xf numFmtId="0" fontId="0" fillId="0" borderId="0" xfId="0" applyAlignment="1">
      <alignment horizontal="center" vertical="center"/>
    </xf>
    <xf numFmtId="0" fontId="32" fillId="0" borderId="2" xfId="0" applyFont="1" applyFill="1" applyBorder="1" applyAlignment="1">
      <alignment horizontal="center"/>
    </xf>
    <xf numFmtId="165" fontId="65" fillId="11" borderId="0" xfId="0" applyNumberFormat="1" applyFont="1" applyFill="1"/>
    <xf numFmtId="3" fontId="0" fillId="12" borderId="0" xfId="0" applyNumberFormat="1" applyFill="1"/>
    <xf numFmtId="9" fontId="0" fillId="12" borderId="2" xfId="0" applyNumberFormat="1" applyFill="1" applyBorder="1" applyAlignment="1">
      <alignment horizontal="center"/>
    </xf>
    <xf numFmtId="9" fontId="65" fillId="0" borderId="2" xfId="3" applyFont="1" applyBorder="1" applyAlignment="1">
      <alignment horizontal="center"/>
    </xf>
    <xf numFmtId="44" fontId="0" fillId="12" borderId="2" xfId="2" applyFont="1" applyFill="1" applyBorder="1"/>
    <xf numFmtId="44" fontId="0" fillId="0" borderId="2" xfId="0" applyNumberFormat="1" applyBorder="1"/>
    <xf numFmtId="44" fontId="0" fillId="7" borderId="2" xfId="2" applyFont="1" applyFill="1" applyBorder="1" applyAlignment="1">
      <alignment horizontal="center"/>
    </xf>
    <xf numFmtId="9" fontId="0" fillId="7" borderId="2" xfId="0" applyNumberFormat="1" applyFill="1" applyBorder="1" applyAlignment="1">
      <alignment horizontal="center"/>
    </xf>
    <xf numFmtId="44" fontId="0" fillId="7" borderId="2" xfId="0" applyNumberFormat="1" applyFill="1" applyBorder="1" applyAlignment="1">
      <alignment horizontal="center"/>
    </xf>
    <xf numFmtId="0" fontId="0" fillId="7" borderId="2" xfId="0" applyFill="1" applyBorder="1" applyAlignment="1">
      <alignment horizontal="center"/>
    </xf>
    <xf numFmtId="44" fontId="19" fillId="7" borderId="0" xfId="2" applyFont="1" applyFill="1"/>
    <xf numFmtId="0" fontId="2" fillId="0" borderId="0" xfId="0" applyFont="1" applyAlignment="1">
      <alignment horizontal="center"/>
    </xf>
    <xf numFmtId="164" fontId="3" fillId="2" borderId="0" xfId="0" applyNumberFormat="1" applyFont="1" applyFill="1" applyAlignment="1">
      <alignment horizontal="center" vertical="center" wrapText="1"/>
    </xf>
    <xf numFmtId="0" fontId="2" fillId="3" borderId="0" xfId="0" applyFont="1" applyFill="1" applyAlignment="1">
      <alignment horizontal="center"/>
    </xf>
    <xf numFmtId="0" fontId="18" fillId="7" borderId="0" xfId="0" applyFont="1"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0" fontId="0" fillId="22" borderId="2" xfId="0" applyFill="1" applyBorder="1" applyAlignment="1">
      <alignment horizontal="center"/>
    </xf>
    <xf numFmtId="0" fontId="36" fillId="0" borderId="0" xfId="0" applyFont="1" applyAlignment="1">
      <alignment horizontal="center" vertical="center"/>
    </xf>
    <xf numFmtId="0" fontId="0" fillId="0" borderId="11" xfId="0" applyBorder="1" applyAlignment="1">
      <alignment horizontal="center"/>
    </xf>
    <xf numFmtId="0" fontId="19" fillId="0" borderId="21" xfId="0" applyFont="1" applyBorder="1" applyAlignment="1">
      <alignment horizontal="center"/>
    </xf>
    <xf numFmtId="0" fontId="19" fillId="0" borderId="23" xfId="0" applyFont="1" applyBorder="1" applyAlignment="1">
      <alignment horizontal="center"/>
    </xf>
    <xf numFmtId="0" fontId="21" fillId="0" borderId="0" xfId="0" applyFont="1" applyAlignment="1">
      <alignment horizontal="center"/>
    </xf>
    <xf numFmtId="0" fontId="33" fillId="0" borderId="2" xfId="0" applyFont="1" applyFill="1" applyBorder="1" applyAlignment="1">
      <alignment horizontal="center"/>
    </xf>
    <xf numFmtId="44" fontId="0" fillId="0" borderId="2" xfId="2" applyFont="1" applyBorder="1" applyAlignment="1">
      <alignment horizontal="center"/>
    </xf>
    <xf numFmtId="0" fontId="22" fillId="0" borderId="2" xfId="0" applyFont="1" applyBorder="1" applyAlignment="1">
      <alignment horizontal="center"/>
    </xf>
    <xf numFmtId="10" fontId="0" fillId="0" borderId="2" xfId="3" applyNumberFormat="1" applyFont="1" applyBorder="1" applyAlignment="1">
      <alignment horizontal="center"/>
    </xf>
    <xf numFmtId="0" fontId="19" fillId="0" borderId="2" xfId="0" applyFont="1" applyBorder="1" applyAlignment="1">
      <alignment horizontal="center" vertical="center" wrapText="1"/>
    </xf>
    <xf numFmtId="0" fontId="22" fillId="0" borderId="2" xfId="0" applyFont="1" applyBorder="1" applyAlignment="1">
      <alignment horizontal="center" wrapText="1"/>
    </xf>
    <xf numFmtId="0" fontId="30" fillId="0" borderId="0" xfId="0" applyFont="1" applyAlignment="1">
      <alignment horizontal="center" vertical="center"/>
    </xf>
    <xf numFmtId="0" fontId="30" fillId="0" borderId="11" xfId="0" applyFont="1" applyBorder="1" applyAlignment="1">
      <alignment horizontal="center" vertical="center"/>
    </xf>
    <xf numFmtId="0" fontId="29" fillId="0" borderId="0" xfId="0" applyFont="1" applyAlignment="1">
      <alignment horizontal="center" wrapText="1"/>
    </xf>
    <xf numFmtId="0" fontId="22" fillId="0" borderId="0" xfId="0" applyFont="1" applyAlignment="1">
      <alignment horizontal="center" vertical="center" wrapText="1"/>
    </xf>
    <xf numFmtId="0" fontId="31" fillId="17" borderId="0" xfId="0" applyFont="1" applyFill="1" applyAlignment="1">
      <alignment horizontal="center"/>
    </xf>
    <xf numFmtId="0" fontId="32" fillId="0" borderId="2" xfId="0" applyFont="1" applyFill="1" applyBorder="1" applyAlignment="1">
      <alignment horizontal="center"/>
    </xf>
    <xf numFmtId="10" fontId="0" fillId="8" borderId="2" xfId="3" applyNumberFormat="1" applyFont="1" applyFill="1" applyBorder="1" applyAlignment="1">
      <alignment horizontal="center"/>
    </xf>
    <xf numFmtId="0" fontId="19" fillId="13" borderId="0" xfId="0" applyFont="1" applyFill="1" applyAlignment="1">
      <alignment horizontal="left"/>
    </xf>
    <xf numFmtId="0" fontId="2" fillId="13" borderId="0" xfId="0" applyFont="1" applyFill="1" applyAlignment="1">
      <alignment horizontal="center"/>
    </xf>
    <xf numFmtId="0" fontId="18" fillId="13" borderId="0" xfId="0" applyFont="1" applyFill="1" applyAlignment="1">
      <alignment horizontal="center"/>
    </xf>
    <xf numFmtId="0" fontId="0" fillId="13" borderId="0" xfId="0" applyFill="1" applyAlignment="1">
      <alignment horizontal="center" vertical="center" wrapText="1"/>
    </xf>
    <xf numFmtId="0" fontId="0" fillId="13" borderId="0" xfId="0" applyFill="1" applyAlignment="1">
      <alignment horizontal="center" vertical="center"/>
    </xf>
    <xf numFmtId="44" fontId="2" fillId="0" borderId="0" xfId="4" applyFont="1" applyAlignment="1">
      <alignment horizontal="center"/>
    </xf>
    <xf numFmtId="0" fontId="33" fillId="0" borderId="2" xfId="0" applyFont="1" applyFill="1" applyBorder="1" applyAlignment="1">
      <alignment horizontal="center" vertical="center"/>
    </xf>
    <xf numFmtId="0" fontId="32" fillId="0" borderId="16" xfId="0" applyFont="1" applyFill="1" applyBorder="1" applyAlignment="1">
      <alignment horizontal="center"/>
    </xf>
    <xf numFmtId="0" fontId="32" fillId="0" borderId="17" xfId="0" applyFont="1" applyFill="1" applyBorder="1" applyAlignment="1">
      <alignment horizontal="center"/>
    </xf>
    <xf numFmtId="10" fontId="34" fillId="0" borderId="13" xfId="3" applyNumberFormat="1" applyFont="1" applyFill="1" applyBorder="1" applyAlignment="1">
      <alignment horizontal="center"/>
    </xf>
    <xf numFmtId="10" fontId="34" fillId="0" borderId="10" xfId="3" applyNumberFormat="1" applyFont="1" applyFill="1" applyBorder="1" applyAlignment="1">
      <alignment horizontal="center"/>
    </xf>
    <xf numFmtId="10" fontId="34" fillId="0" borderId="14" xfId="3" applyNumberFormat="1" applyFont="1" applyFill="1" applyBorder="1" applyAlignment="1">
      <alignment horizontal="center"/>
    </xf>
    <xf numFmtId="10" fontId="34" fillId="0" borderId="12" xfId="3" applyNumberFormat="1" applyFont="1" applyFill="1" applyBorder="1" applyAlignment="1">
      <alignment horizontal="center"/>
    </xf>
    <xf numFmtId="10" fontId="34" fillId="0" borderId="11" xfId="3" applyNumberFormat="1" applyFont="1" applyFill="1" applyBorder="1" applyAlignment="1">
      <alignment horizontal="center"/>
    </xf>
    <xf numFmtId="10" fontId="34" fillId="0" borderId="15" xfId="3" applyNumberFormat="1" applyFont="1" applyFill="1" applyBorder="1" applyAlignment="1">
      <alignment horizontal="center"/>
    </xf>
    <xf numFmtId="0" fontId="19" fillId="0" borderId="0" xfId="0" applyFont="1" applyAlignment="1">
      <alignment horizontal="center" vertical="center" wrapText="1"/>
    </xf>
    <xf numFmtId="0" fontId="58" fillId="0" borderId="11" xfId="0" applyFont="1" applyBorder="1" applyAlignment="1">
      <alignment horizontal="center"/>
    </xf>
    <xf numFmtId="0" fontId="46" fillId="7" borderId="0" xfId="0" applyFont="1" applyFill="1" applyAlignment="1">
      <alignment horizontal="center"/>
    </xf>
    <xf numFmtId="0" fontId="0" fillId="8" borderId="0" xfId="0" applyFill="1" applyAlignment="1">
      <alignment horizontal="center" vertical="center"/>
    </xf>
    <xf numFmtId="0" fontId="0" fillId="11" borderId="0" xfId="0" applyFill="1" applyAlignment="1">
      <alignment horizontal="center" vertical="center"/>
    </xf>
    <xf numFmtId="0" fontId="0" fillId="11" borderId="0" xfId="0" applyFill="1" applyAlignment="1">
      <alignment horizontal="center"/>
    </xf>
    <xf numFmtId="0" fontId="47" fillId="0" borderId="0" xfId="0" applyFont="1" applyAlignment="1">
      <alignment horizontal="center"/>
    </xf>
    <xf numFmtId="0" fontId="0" fillId="8" borderId="0" xfId="0" applyFill="1" applyAlignment="1">
      <alignment horizontal="center"/>
    </xf>
    <xf numFmtId="0" fontId="0" fillId="0" borderId="0" xfId="0" applyAlignment="1">
      <alignment horizontal="center"/>
    </xf>
    <xf numFmtId="0" fontId="0" fillId="11" borderId="0" xfId="0" applyFill="1" applyAlignment="1">
      <alignment horizontal="center" vertical="center" wrapText="1"/>
    </xf>
    <xf numFmtId="0" fontId="0" fillId="8" borderId="0" xfId="0" applyFill="1" applyAlignment="1">
      <alignment horizontal="center" vertical="center" wrapText="1"/>
    </xf>
    <xf numFmtId="0" fontId="47" fillId="0" borderId="0" xfId="0" applyFont="1" applyAlignment="1">
      <alignment horizontal="center" vertical="center"/>
    </xf>
    <xf numFmtId="0" fontId="19" fillId="13" borderId="0" xfId="0" applyFont="1" applyFill="1" applyAlignment="1">
      <alignment horizontal="center"/>
    </xf>
    <xf numFmtId="0" fontId="36" fillId="13" borderId="0" xfId="0" applyFont="1" applyFill="1" applyAlignment="1">
      <alignment horizontal="center"/>
    </xf>
    <xf numFmtId="0" fontId="0" fillId="0" borderId="0" xfId="0" applyAlignment="1">
      <alignment horizontal="center" wrapText="1"/>
    </xf>
    <xf numFmtId="0" fontId="61" fillId="0" borderId="0" xfId="0" applyFont="1" applyAlignment="1">
      <alignment horizontal="center"/>
    </xf>
    <xf numFmtId="0" fontId="19" fillId="6" borderId="2" xfId="0" applyFont="1" applyFill="1" applyBorder="1" applyAlignment="1">
      <alignment horizontal="center"/>
    </xf>
    <xf numFmtId="44" fontId="72" fillId="6" borderId="18" xfId="2" applyFont="1" applyFill="1" applyBorder="1" applyAlignment="1">
      <alignment horizontal="center"/>
    </xf>
    <xf numFmtId="44" fontId="72" fillId="6" borderId="19" xfId="2" applyFont="1" applyFill="1" applyBorder="1" applyAlignment="1">
      <alignment horizontal="center"/>
    </xf>
    <xf numFmtId="44" fontId="60" fillId="6" borderId="18" xfId="2" applyFont="1" applyFill="1" applyBorder="1" applyAlignment="1">
      <alignment horizontal="center"/>
    </xf>
    <xf numFmtId="44" fontId="60" fillId="6" borderId="19" xfId="2" applyFont="1" applyFill="1" applyBorder="1" applyAlignment="1">
      <alignment horizontal="center"/>
    </xf>
    <xf numFmtId="44" fontId="60" fillId="12" borderId="18" xfId="2" applyFont="1" applyFill="1" applyBorder="1" applyAlignment="1">
      <alignment horizontal="center"/>
    </xf>
    <xf numFmtId="44" fontId="60" fillId="12" borderId="19" xfId="2" applyFont="1" applyFill="1" applyBorder="1" applyAlignment="1">
      <alignment horizontal="center"/>
    </xf>
    <xf numFmtId="44" fontId="74" fillId="0" borderId="18" xfId="2" applyFont="1" applyBorder="1" applyAlignment="1">
      <alignment horizontal="center"/>
    </xf>
    <xf numFmtId="44" fontId="74" fillId="0" borderId="19" xfId="2" applyFont="1" applyBorder="1" applyAlignment="1">
      <alignment horizontal="center"/>
    </xf>
    <xf numFmtId="44" fontId="60" fillId="0" borderId="12" xfId="0" applyNumberFormat="1" applyFont="1" applyBorder="1" applyAlignment="1">
      <alignment horizontal="center"/>
    </xf>
    <xf numFmtId="0" fontId="60" fillId="0" borderId="15" xfId="0" applyFont="1" applyBorder="1" applyAlignment="1">
      <alignment horizontal="center"/>
    </xf>
    <xf numFmtId="44" fontId="60" fillId="0" borderId="18" xfId="2" applyFont="1" applyBorder="1" applyAlignment="1">
      <alignment horizontal="center"/>
    </xf>
    <xf numFmtId="44" fontId="60" fillId="0" borderId="0" xfId="2" applyFont="1" applyBorder="1" applyAlignment="1">
      <alignment horizontal="center"/>
    </xf>
    <xf numFmtId="44" fontId="60" fillId="0" borderId="19" xfId="2" applyFont="1" applyBorder="1" applyAlignment="1">
      <alignment horizontal="center"/>
    </xf>
    <xf numFmtId="44" fontId="70" fillId="6" borderId="18" xfId="2" applyFont="1" applyFill="1" applyBorder="1" applyAlignment="1">
      <alignment horizontal="center"/>
    </xf>
    <xf numFmtId="44" fontId="70" fillId="6" borderId="19" xfId="2" applyFont="1" applyFill="1" applyBorder="1" applyAlignment="1">
      <alignment horizontal="center"/>
    </xf>
    <xf numFmtId="44" fontId="71" fillId="6" borderId="18" xfId="2" applyFont="1" applyFill="1" applyBorder="1" applyAlignment="1">
      <alignment horizontal="center"/>
    </xf>
    <xf numFmtId="44" fontId="71" fillId="6" borderId="19" xfId="2" applyFont="1" applyFill="1" applyBorder="1" applyAlignment="1">
      <alignment horizontal="center"/>
    </xf>
    <xf numFmtId="44" fontId="60" fillId="6" borderId="0" xfId="2" applyFont="1" applyFill="1" applyBorder="1" applyAlignment="1">
      <alignment horizontal="center"/>
    </xf>
    <xf numFmtId="0" fontId="76" fillId="0" borderId="18" xfId="0" applyFont="1" applyBorder="1" applyAlignment="1">
      <alignment horizontal="center" vertical="center" wrapText="1"/>
    </xf>
    <xf numFmtId="0" fontId="76" fillId="0" borderId="0" xfId="0" applyFont="1" applyAlignment="1">
      <alignment horizontal="center" vertical="center" wrapText="1"/>
    </xf>
    <xf numFmtId="0" fontId="60" fillId="0" borderId="11" xfId="0" applyFont="1" applyBorder="1" applyAlignment="1">
      <alignment horizontal="center"/>
    </xf>
    <xf numFmtId="44" fontId="60" fillId="0" borderId="18" xfId="0" applyNumberFormat="1" applyFont="1" applyBorder="1" applyAlignment="1">
      <alignment horizontal="center"/>
    </xf>
    <xf numFmtId="44" fontId="60" fillId="0" borderId="19" xfId="0" applyNumberFormat="1" applyFont="1" applyBorder="1" applyAlignment="1">
      <alignment horizontal="center"/>
    </xf>
    <xf numFmtId="0" fontId="62" fillId="0" borderId="0" xfId="0" applyFont="1" applyAlignment="1">
      <alignment horizontal="center" vertical="center" wrapText="1"/>
    </xf>
    <xf numFmtId="0" fontId="19" fillId="0" borderId="0" xfId="0" applyFont="1" applyAlignment="1">
      <alignment horizontal="center" wrapText="1"/>
    </xf>
    <xf numFmtId="44" fontId="21" fillId="0" borderId="18" xfId="0" applyNumberFormat="1" applyFont="1" applyBorder="1" applyAlignment="1">
      <alignment horizontal="center"/>
    </xf>
    <xf numFmtId="0" fontId="21" fillId="0" borderId="19" xfId="0" applyFont="1" applyBorder="1" applyAlignment="1">
      <alignment horizontal="center"/>
    </xf>
    <xf numFmtId="0" fontId="60" fillId="0" borderId="0" xfId="0" applyFont="1" applyBorder="1" applyAlignment="1">
      <alignment horizontal="center"/>
    </xf>
    <xf numFmtId="0" fontId="60" fillId="0" borderId="19" xfId="0" applyFont="1" applyBorder="1" applyAlignment="1">
      <alignment horizontal="center"/>
    </xf>
    <xf numFmtId="0" fontId="64" fillId="0" borderId="0" xfId="0" applyFont="1" applyAlignment="1">
      <alignment horizontal="center"/>
    </xf>
    <xf numFmtId="0" fontId="63" fillId="0" borderId="0" xfId="0" applyFont="1" applyAlignment="1">
      <alignment horizontal="center" vertical="center" wrapText="1"/>
    </xf>
    <xf numFmtId="0" fontId="22" fillId="0" borderId="0" xfId="0" applyFont="1" applyAlignment="1">
      <alignment horizontal="center" wrapText="1"/>
    </xf>
    <xf numFmtId="9" fontId="0" fillId="0" borderId="0" xfId="0" applyNumberFormat="1" applyAlignment="1">
      <alignment horizontal="center"/>
    </xf>
    <xf numFmtId="0" fontId="0" fillId="0" borderId="2" xfId="0" applyBorder="1" applyAlignment="1">
      <alignment horizontal="center" wrapText="1"/>
    </xf>
    <xf numFmtId="0" fontId="0" fillId="0" borderId="21" xfId="0" applyBorder="1" applyAlignment="1">
      <alignment horizontal="center" wrapText="1"/>
    </xf>
    <xf numFmtId="44" fontId="52" fillId="0" borderId="2" xfId="2" applyFont="1" applyBorder="1" applyAlignment="1">
      <alignment horizontal="center"/>
    </xf>
    <xf numFmtId="44" fontId="19" fillId="0" borderId="2" xfId="2" applyFont="1" applyBorder="1" applyAlignment="1">
      <alignment horizontal="center"/>
    </xf>
    <xf numFmtId="0" fontId="19" fillId="0" borderId="2" xfId="0" applyFont="1" applyBorder="1" applyAlignment="1">
      <alignment horizontal="center" vertical="center"/>
    </xf>
    <xf numFmtId="0" fontId="19" fillId="0" borderId="2" xfId="0" applyFont="1" applyBorder="1" applyAlignment="1">
      <alignment horizontal="center"/>
    </xf>
    <xf numFmtId="0" fontId="0" fillId="0" borderId="2" xfId="0" applyBorder="1" applyAlignment="1">
      <alignment horizontal="center" vertical="center" wrapText="1"/>
    </xf>
    <xf numFmtId="0" fontId="0" fillId="0" borderId="21" xfId="0" applyBorder="1" applyAlignment="1">
      <alignment horizontal="center" vertical="center" wrapText="1"/>
    </xf>
    <xf numFmtId="44" fontId="40" fillId="0" borderId="2" xfId="2" applyFont="1" applyBorder="1" applyAlignment="1">
      <alignment horizontal="center"/>
    </xf>
    <xf numFmtId="44" fontId="72" fillId="0" borderId="2" xfId="2" applyFont="1" applyBorder="1" applyAlignment="1">
      <alignment horizontal="center"/>
    </xf>
    <xf numFmtId="0" fontId="0" fillId="0" borderId="19" xfId="0" applyBorder="1" applyAlignment="1">
      <alignment horizontal="center"/>
    </xf>
    <xf numFmtId="44" fontId="23" fillId="11" borderId="2" xfId="2" applyFont="1" applyFill="1" applyBorder="1" applyAlignment="1">
      <alignment horizontal="center"/>
    </xf>
    <xf numFmtId="0" fontId="0" fillId="0" borderId="2" xfId="0" applyBorder="1" applyAlignment="1">
      <alignment horizontal="center" vertical="center"/>
    </xf>
    <xf numFmtId="0" fontId="0" fillId="0" borderId="2" xfId="0" applyBorder="1" applyAlignment="1">
      <alignment horizontal="center"/>
    </xf>
    <xf numFmtId="0" fontId="0" fillId="0" borderId="21" xfId="0" applyBorder="1" applyAlignment="1">
      <alignment horizontal="center"/>
    </xf>
    <xf numFmtId="0" fontId="0" fillId="11" borderId="2" xfId="0" applyFill="1" applyBorder="1" applyAlignment="1">
      <alignment horizontal="center" wrapText="1"/>
    </xf>
    <xf numFmtId="0" fontId="0" fillId="11" borderId="21" xfId="0" applyFill="1" applyBorder="1" applyAlignment="1">
      <alignment horizontal="center" wrapText="1"/>
    </xf>
    <xf numFmtId="44" fontId="67" fillId="0" borderId="2" xfId="2" applyFont="1" applyBorder="1" applyAlignment="1">
      <alignment horizontal="center"/>
    </xf>
    <xf numFmtId="0" fontId="40" fillId="0" borderId="0" xfId="0" applyFont="1" applyAlignment="1">
      <alignment horizontal="center"/>
    </xf>
    <xf numFmtId="0" fontId="66" fillId="7" borderId="21" xfId="0" applyFont="1" applyFill="1" applyBorder="1" applyAlignment="1">
      <alignment horizontal="center" vertical="center"/>
    </xf>
    <xf numFmtId="0" fontId="66" fillId="7" borderId="22" xfId="0" applyFont="1" applyFill="1" applyBorder="1" applyAlignment="1">
      <alignment horizontal="center" vertical="center"/>
    </xf>
    <xf numFmtId="0" fontId="0" fillId="7" borderId="4" xfId="0" applyFill="1" applyBorder="1" applyAlignment="1">
      <alignment horizontal="center" vertical="center"/>
    </xf>
    <xf numFmtId="0" fontId="0" fillId="7" borderId="24" xfId="0" applyFill="1" applyBorder="1" applyAlignment="1">
      <alignment horizontal="center" vertical="center"/>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24" fillId="0" borderId="0" xfId="15" applyNumberFormat="1" applyFont="1" applyBorder="1" applyAlignment="1">
      <alignment horizontal="center"/>
    </xf>
    <xf numFmtId="44" fontId="60" fillId="13" borderId="0" xfId="2" applyFont="1" applyFill="1" applyBorder="1" applyAlignment="1">
      <alignment horizontal="center"/>
    </xf>
    <xf numFmtId="0" fontId="60" fillId="0" borderId="0" xfId="15" applyNumberFormat="1" applyFont="1" applyBorder="1" applyAlignment="1">
      <alignment horizontal="center"/>
    </xf>
    <xf numFmtId="44" fontId="60" fillId="0" borderId="0" xfId="15" applyNumberFormat="1" applyFont="1" applyBorder="1" applyAlignment="1">
      <alignment horizontal="center"/>
    </xf>
    <xf numFmtId="10" fontId="60" fillId="0" borderId="0" xfId="3" applyNumberFormat="1" applyFont="1" applyBorder="1" applyAlignment="1">
      <alignment horizontal="center"/>
    </xf>
    <xf numFmtId="0" fontId="60" fillId="0" borderId="0" xfId="0" applyFont="1" applyAlignment="1">
      <alignment horizontal="center"/>
    </xf>
    <xf numFmtId="0" fontId="0" fillId="0" borderId="0" xfId="0" applyAlignment="1">
      <alignment vertical="center"/>
    </xf>
    <xf numFmtId="0" fontId="82" fillId="0" borderId="0" xfId="15" applyNumberFormat="1" applyFont="1" applyAlignment="1">
      <alignment vertical="center"/>
    </xf>
    <xf numFmtId="0" fontId="83" fillId="0" borderId="2" xfId="15" applyNumberFormat="1" applyFont="1" applyBorder="1" applyAlignment="1">
      <alignment horizontal="center" vertical="center"/>
    </xf>
    <xf numFmtId="10" fontId="83" fillId="0" borderId="2" xfId="3" applyNumberFormat="1" applyFont="1" applyBorder="1" applyAlignment="1">
      <alignment horizontal="center" vertical="center"/>
    </xf>
    <xf numFmtId="0" fontId="83" fillId="0" borderId="0" xfId="15" applyNumberFormat="1" applyFont="1" applyBorder="1" applyAlignment="1">
      <alignment horizontal="center" vertical="center"/>
    </xf>
    <xf numFmtId="0" fontId="82" fillId="0" borderId="0" xfId="0" applyFont="1" applyAlignment="1">
      <alignment vertical="center"/>
    </xf>
    <xf numFmtId="0" fontId="85" fillId="0" borderId="0" xfId="0" applyFont="1" applyFill="1" applyBorder="1" applyAlignment="1">
      <alignment horizontal="left"/>
    </xf>
    <xf numFmtId="0" fontId="19" fillId="6" borderId="0" xfId="0" applyFont="1" applyFill="1" applyAlignment="1">
      <alignment horizontal="center" vertical="center"/>
    </xf>
    <xf numFmtId="0" fontId="19" fillId="23" borderId="0" xfId="0" applyFont="1" applyFill="1"/>
    <xf numFmtId="0" fontId="19" fillId="13" borderId="0" xfId="0" applyFont="1" applyFill="1" applyAlignment="1">
      <alignment horizontal="center" vertical="center"/>
    </xf>
    <xf numFmtId="44" fontId="44" fillId="13" borderId="0" xfId="0" applyNumberFormat="1" applyFont="1" applyFill="1"/>
    <xf numFmtId="0" fontId="44" fillId="13" borderId="0" xfId="0" applyFont="1" applyFill="1"/>
    <xf numFmtId="0" fontId="18" fillId="25" borderId="2" xfId="0" applyFont="1" applyFill="1" applyBorder="1" applyAlignment="1" applyProtection="1">
      <alignment horizontal="center" vertical="center"/>
    </xf>
    <xf numFmtId="0" fontId="19" fillId="26" borderId="0" xfId="0" applyFont="1" applyFill="1" applyProtection="1"/>
    <xf numFmtId="22" fontId="19" fillId="26" borderId="0" xfId="0" applyNumberFormat="1" applyFont="1" applyFill="1" applyProtection="1"/>
    <xf numFmtId="44" fontId="19" fillId="26" borderId="0" xfId="2" applyFont="1" applyFill="1" applyProtection="1"/>
    <xf numFmtId="44" fontId="50" fillId="26" borderId="0" xfId="2" applyFont="1" applyFill="1" applyProtection="1"/>
    <xf numFmtId="44" fontId="86" fillId="13" borderId="0" xfId="2" applyFont="1" applyFill="1"/>
    <xf numFmtId="0" fontId="86" fillId="13" borderId="0" xfId="0" applyFont="1" applyFill="1"/>
    <xf numFmtId="9" fontId="86" fillId="13" borderId="0" xfId="0" applyNumberFormat="1" applyFont="1" applyFill="1"/>
    <xf numFmtId="0" fontId="87" fillId="13" borderId="0" xfId="0" applyFont="1" applyFill="1"/>
    <xf numFmtId="44" fontId="81" fillId="13" borderId="0" xfId="2" applyFont="1" applyFill="1"/>
    <xf numFmtId="44" fontId="86" fillId="13" borderId="0" xfId="0" applyNumberFormat="1" applyFont="1" applyFill="1"/>
    <xf numFmtId="3" fontId="86" fillId="13" borderId="0" xfId="0" applyNumberFormat="1" applyFont="1" applyFill="1"/>
    <xf numFmtId="44" fontId="88" fillId="13" borderId="0" xfId="2" applyFont="1" applyFill="1"/>
    <xf numFmtId="0" fontId="89" fillId="24" borderId="2" xfId="0" applyFont="1" applyFill="1" applyBorder="1" applyAlignment="1" applyProtection="1">
      <alignment horizontal="center" vertical="center"/>
    </xf>
    <xf numFmtId="0" fontId="82" fillId="13" borderId="0" xfId="0" applyFont="1" applyFill="1" applyAlignment="1">
      <alignment horizontal="center" vertical="center"/>
    </xf>
    <xf numFmtId="0" fontId="90" fillId="24" borderId="0" xfId="0" applyFont="1" applyFill="1" applyAlignment="1">
      <alignment horizontal="center"/>
    </xf>
    <xf numFmtId="0" fontId="0" fillId="24" borderId="0" xfId="0" applyFill="1"/>
    <xf numFmtId="0" fontId="85" fillId="0" borderId="2" xfId="0" applyFont="1" applyFill="1" applyBorder="1" applyAlignment="1">
      <alignment horizontal="center"/>
    </xf>
    <xf numFmtId="0" fontId="85" fillId="0" borderId="2" xfId="0" applyFont="1" applyFill="1" applyBorder="1" applyAlignment="1">
      <alignment horizontal="center" vertical="center" wrapText="1"/>
    </xf>
    <xf numFmtId="10" fontId="0" fillId="0" borderId="0" xfId="3" applyNumberFormat="1" applyFont="1" applyAlignment="1">
      <alignment vertical="center"/>
    </xf>
    <xf numFmtId="9" fontId="0" fillId="0" borderId="0" xfId="3" applyFont="1" applyAlignment="1">
      <alignment vertical="center"/>
    </xf>
    <xf numFmtId="0" fontId="85" fillId="0" borderId="2" xfId="0" applyFont="1" applyFill="1" applyBorder="1" applyAlignment="1">
      <alignment horizontal="center" vertical="center"/>
    </xf>
    <xf numFmtId="0" fontId="91" fillId="0" borderId="2" xfId="0" applyFont="1" applyFill="1" applyBorder="1" applyAlignment="1">
      <alignment horizontal="center" vertical="center"/>
    </xf>
    <xf numFmtId="0" fontId="0" fillId="0" borderId="0" xfId="0" applyFont="1" applyAlignment="1">
      <alignment vertical="center"/>
    </xf>
    <xf numFmtId="44" fontId="92" fillId="0" borderId="2" xfId="2" applyFont="1" applyFill="1" applyBorder="1" applyAlignment="1">
      <alignment horizontal="center" vertical="center"/>
    </xf>
    <xf numFmtId="44" fontId="0" fillId="0" borderId="0" xfId="0" applyNumberFormat="1" applyFont="1" applyAlignment="1">
      <alignment vertical="center"/>
    </xf>
    <xf numFmtId="10" fontId="92" fillId="0" borderId="2" xfId="3" applyNumberFormat="1" applyFont="1" applyFill="1" applyBorder="1" applyAlignment="1">
      <alignment horizontal="center" vertical="center"/>
    </xf>
    <xf numFmtId="44" fontId="92" fillId="13" borderId="2" xfId="2" applyFont="1" applyFill="1" applyBorder="1" applyAlignment="1">
      <alignment horizontal="center" vertical="center"/>
    </xf>
    <xf numFmtId="44" fontId="91" fillId="0" borderId="2" xfId="2" applyFont="1" applyFill="1" applyBorder="1" applyAlignment="1">
      <alignment horizontal="center" vertical="center"/>
    </xf>
    <xf numFmtId="44" fontId="93" fillId="0" borderId="2" xfId="2" applyFont="1" applyFill="1" applyBorder="1" applyAlignment="1">
      <alignment horizontal="center" vertical="center"/>
    </xf>
    <xf numFmtId="0" fontId="0" fillId="0" borderId="0" xfId="0" applyAlignment="1">
      <alignment horizontal="left" vertical="center" wrapText="1"/>
    </xf>
    <xf numFmtId="0" fontId="17" fillId="20" borderId="0" xfId="0" applyFont="1" applyFill="1"/>
    <xf numFmtId="4" fontId="2" fillId="20" borderId="0" xfId="0" applyNumberFormat="1" applyFont="1" applyFill="1"/>
    <xf numFmtId="0" fontId="2" fillId="20" borderId="2" xfId="0" applyFont="1" applyFill="1" applyBorder="1"/>
    <xf numFmtId="3" fontId="2" fillId="20" borderId="2" xfId="0" applyNumberFormat="1" applyFont="1" applyFill="1" applyBorder="1"/>
    <xf numFmtId="14" fontId="15" fillId="24" borderId="0" xfId="0" applyNumberFormat="1" applyFont="1" applyFill="1" applyAlignment="1">
      <alignment horizontal="center"/>
    </xf>
    <xf numFmtId="0" fontId="20" fillId="24" borderId="0" xfId="0" applyFont="1" applyFill="1"/>
    <xf numFmtId="4" fontId="20" fillId="24" borderId="0" xfId="0" applyNumberFormat="1" applyFont="1" applyFill="1"/>
    <xf numFmtId="0" fontId="18" fillId="24" borderId="0" xfId="0" applyFont="1" applyFill="1"/>
    <xf numFmtId="4" fontId="18" fillId="24" borderId="0" xfId="0" applyNumberFormat="1" applyFont="1" applyFill="1"/>
    <xf numFmtId="44" fontId="20" fillId="24" borderId="0" xfId="0" applyNumberFormat="1" applyFont="1" applyFill="1"/>
    <xf numFmtId="0" fontId="94" fillId="0" borderId="0" xfId="0" applyFont="1"/>
    <xf numFmtId="0" fontId="40" fillId="0" borderId="0" xfId="0" applyFont="1" applyAlignment="1">
      <alignment horizontal="center" wrapText="1"/>
    </xf>
    <xf numFmtId="0" fontId="69" fillId="0" borderId="0" xfId="0" applyFont="1" applyAlignment="1">
      <alignment horizontal="center" vertical="center"/>
    </xf>
    <xf numFmtId="0" fontId="97" fillId="0" borderId="0" xfId="0" applyFont="1" applyAlignment="1">
      <alignment horizontal="center" vertical="center"/>
    </xf>
    <xf numFmtId="0" fontId="98" fillId="0" borderId="0" xfId="17" applyFont="1" applyAlignment="1">
      <alignment horizontal="center" vertical="center"/>
    </xf>
    <xf numFmtId="0" fontId="95" fillId="0" borderId="0" xfId="17" applyFont="1" applyAlignment="1">
      <alignment vertical="center"/>
    </xf>
    <xf numFmtId="0" fontId="40" fillId="0" borderId="0" xfId="0" applyFont="1"/>
    <xf numFmtId="0" fontId="80" fillId="0" borderId="0" xfId="17"/>
    <xf numFmtId="0" fontId="0" fillId="0" borderId="0" xfId="0" applyNumberFormat="1" applyAlignment="1">
      <alignment horizontal="center"/>
    </xf>
    <xf numFmtId="0" fontId="84" fillId="0" borderId="0" xfId="0" applyFont="1" applyBorder="1" applyAlignment="1">
      <alignment horizontal="center"/>
    </xf>
    <xf numFmtId="44" fontId="24" fillId="0" borderId="0" xfId="0" applyNumberFormat="1" applyFont="1" applyBorder="1" applyAlignment="1">
      <alignment horizontal="center"/>
    </xf>
    <xf numFmtId="44" fontId="40" fillId="0" borderId="0" xfId="0" applyNumberFormat="1" applyFont="1" applyBorder="1" applyAlignment="1">
      <alignment horizontal="center"/>
    </xf>
    <xf numFmtId="44" fontId="40" fillId="0" borderId="0" xfId="2" applyFont="1" applyBorder="1" applyAlignment="1">
      <alignment horizontal="center"/>
    </xf>
    <xf numFmtId="10" fontId="96" fillId="0" borderId="0" xfId="3" applyNumberFormat="1" applyFont="1" applyBorder="1" applyAlignment="1">
      <alignment horizontal="center" vertical="center" wrapText="1"/>
    </xf>
    <xf numFmtId="10" fontId="96" fillId="0" borderId="0" xfId="3" applyNumberFormat="1" applyFont="1" applyBorder="1" applyAlignment="1">
      <alignment horizontal="center" vertical="center"/>
    </xf>
  </cellXfs>
  <cellStyles count="18">
    <cellStyle name="Hipervínculo" xfId="17" builtinId="8"/>
    <cellStyle name="Millares" xfId="1" builtinId="3"/>
    <cellStyle name="Millares 2" xfId="6"/>
    <cellStyle name="Millares 2 2" xfId="14"/>
    <cellStyle name="Millares 3" xfId="10"/>
    <cellStyle name="Moneda" xfId="2" builtinId="4"/>
    <cellStyle name="Moneda 2" xfId="7"/>
    <cellStyle name="Moneda 2 10" xfId="4"/>
    <cellStyle name="Moneda 2 10 2" xfId="8"/>
    <cellStyle name="Moneda 2 10 2 2" xfId="16"/>
    <cellStyle name="Moneda 2 10 3" xfId="12"/>
    <cellStyle name="Moneda 2 2" xfId="15"/>
    <cellStyle name="Moneda 3" xfId="5"/>
    <cellStyle name="Moneda 3 2" xfId="13"/>
    <cellStyle name="Moneda 4" xfId="11"/>
    <cellStyle name="Moneda 5" xfId="9"/>
    <cellStyle name="Normal" xfId="0" builtinId="0"/>
    <cellStyle name="Porcentaje" xfId="3" builtinId="5"/>
  </cellStyles>
  <dxfs count="1">
    <dxf>
      <font>
        <color rgb="FF9C0006"/>
      </font>
    </dxf>
  </dxfs>
  <tableStyles count="0" defaultTableStyle="TableStyleMedium2" defaultPivotStyle="PivotStyleLight16"/>
  <colors>
    <mruColors>
      <color rgb="FFA90F3B"/>
      <color rgb="FFFBD1DD"/>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200981</xdr:colOff>
      <xdr:row>0</xdr:row>
      <xdr:rowOff>123825</xdr:rowOff>
    </xdr:from>
    <xdr:to>
      <xdr:col>3</xdr:col>
      <xdr:colOff>571500</xdr:colOff>
      <xdr:row>2</xdr:row>
      <xdr:rowOff>104775</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413" b="19289"/>
        <a:stretch/>
      </xdr:blipFill>
      <xdr:spPr>
        <a:xfrm>
          <a:off x="524831" y="123825"/>
          <a:ext cx="1894519" cy="438150"/>
        </a:xfrm>
        <a:prstGeom prst="rect">
          <a:avLst/>
        </a:prstGeom>
      </xdr:spPr>
    </xdr:pic>
    <xdr:clientData/>
  </xdr:twoCellAnchor>
  <xdr:twoCellAnchor editAs="oneCell">
    <xdr:from>
      <xdr:col>12</xdr:col>
      <xdr:colOff>142874</xdr:colOff>
      <xdr:row>3</xdr:row>
      <xdr:rowOff>285749</xdr:rowOff>
    </xdr:from>
    <xdr:to>
      <xdr:col>16</xdr:col>
      <xdr:colOff>114299</xdr:colOff>
      <xdr:row>9</xdr:row>
      <xdr:rowOff>180974</xdr:rowOff>
    </xdr:to>
    <xdr:pic>
      <xdr:nvPicPr>
        <xdr:cNvPr id="4" name="Imagen 3"/>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Marker/>
                  </a14:imgEffect>
                </a14:imgLayer>
              </a14:imgProps>
            </a:ext>
            <a:ext uri="{28A0092B-C50C-407E-A947-70E740481C1C}">
              <a14:useLocalDpi xmlns:a14="http://schemas.microsoft.com/office/drawing/2010/main" val="0"/>
            </a:ext>
          </a:extLst>
        </a:blip>
        <a:stretch>
          <a:fillRect/>
        </a:stretch>
      </xdr:blipFill>
      <xdr:spPr>
        <a:xfrm>
          <a:off x="8915399" y="933449"/>
          <a:ext cx="3019425" cy="3019425"/>
        </a:xfrm>
        <a:prstGeom prst="rect">
          <a:avLst/>
        </a:prstGeom>
        <a:effectLst>
          <a:reflection stA="0" endPos="6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592666</xdr:colOff>
      <xdr:row>3</xdr:row>
      <xdr:rowOff>0</xdr:rowOff>
    </xdr:from>
    <xdr:to>
      <xdr:col>15</xdr:col>
      <xdr:colOff>380999</xdr:colOff>
      <xdr:row>24</xdr:row>
      <xdr:rowOff>182323</xdr:rowOff>
    </xdr:to>
    <xdr:sp macro="" textlink="">
      <xdr:nvSpPr>
        <xdr:cNvPr id="2" name="object 2"/>
        <xdr:cNvSpPr/>
      </xdr:nvSpPr>
      <xdr:spPr>
        <a:xfrm>
          <a:off x="8861777" y="550333"/>
          <a:ext cx="5122333" cy="4034657"/>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254000</xdr:colOff>
      <xdr:row>54</xdr:row>
      <xdr:rowOff>56761</xdr:rowOff>
    </xdr:to>
    <xdr:pic>
      <xdr:nvPicPr>
        <xdr:cNvPr id="2" name="Imagen 1"/>
        <xdr:cNvPicPr>
          <a:picLocks noChangeAspect="1"/>
        </xdr:cNvPicPr>
      </xdr:nvPicPr>
      <xdr:blipFill rotWithShape="1">
        <a:blip xmlns:r="http://schemas.openxmlformats.org/officeDocument/2006/relationships" r:embed="rId1"/>
        <a:srcRect l="17364" t="15972" r="20477" b="12676"/>
        <a:stretch/>
      </xdr:blipFill>
      <xdr:spPr>
        <a:xfrm>
          <a:off x="0" y="0"/>
          <a:ext cx="15494000" cy="10343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706437</xdr:colOff>
      <xdr:row>22</xdr:row>
      <xdr:rowOff>69849</xdr:rowOff>
    </xdr:from>
    <xdr:to>
      <xdr:col>32</xdr:col>
      <xdr:colOff>508811</xdr:colOff>
      <xdr:row>37</xdr:row>
      <xdr:rowOff>146049</xdr:rowOff>
    </xdr:to>
    <xdr:pic>
      <xdr:nvPicPr>
        <xdr:cNvPr id="2" name="Imagen 1"/>
        <xdr:cNvPicPr>
          <a:picLocks noChangeAspect="1"/>
        </xdr:cNvPicPr>
      </xdr:nvPicPr>
      <xdr:blipFill rotWithShape="1">
        <a:blip xmlns:r="http://schemas.openxmlformats.org/officeDocument/2006/relationships" r:embed="rId1"/>
        <a:srcRect l="8480" t="13545" r="8029" b="18218"/>
        <a:stretch/>
      </xdr:blipFill>
      <xdr:spPr>
        <a:xfrm>
          <a:off x="16160750" y="4189412"/>
          <a:ext cx="6382561" cy="293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171450</xdr:colOff>
      <xdr:row>1</xdr:row>
      <xdr:rowOff>95250</xdr:rowOff>
    </xdr:from>
    <xdr:to>
      <xdr:col>3</xdr:col>
      <xdr:colOff>1695450</xdr:colOff>
      <xdr:row>6</xdr:row>
      <xdr:rowOff>161925</xdr:rowOff>
    </xdr:to>
    <xdr:pic>
      <xdr:nvPicPr>
        <xdr:cNvPr id="2" name="Imagen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456" t="28235" r="13529" b="29804"/>
        <a:stretch/>
      </xdr:blipFill>
      <xdr:spPr>
        <a:xfrm>
          <a:off x="933450" y="285750"/>
          <a:ext cx="3152775" cy="1019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1800225</xdr:colOff>
      <xdr:row>33</xdr:row>
      <xdr:rowOff>38100</xdr:rowOff>
    </xdr:from>
    <xdr:to>
      <xdr:col>1</xdr:col>
      <xdr:colOff>1800225</xdr:colOff>
      <xdr:row>34</xdr:row>
      <xdr:rowOff>104775</xdr:rowOff>
    </xdr:to>
    <xdr:cxnSp macro="">
      <xdr:nvCxnSpPr>
        <xdr:cNvPr id="7" name="Conector recto de flecha 6"/>
        <xdr:cNvCxnSpPr/>
      </xdr:nvCxnSpPr>
      <xdr:spPr>
        <a:xfrm>
          <a:off x="1962150" y="3467100"/>
          <a:ext cx="0" cy="2571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1905000</xdr:colOff>
      <xdr:row>34</xdr:row>
      <xdr:rowOff>28575</xdr:rowOff>
    </xdr:from>
    <xdr:to>
      <xdr:col>5</xdr:col>
      <xdr:colOff>0</xdr:colOff>
      <xdr:row>34</xdr:row>
      <xdr:rowOff>47625</xdr:rowOff>
    </xdr:to>
    <xdr:cxnSp macro="">
      <xdr:nvCxnSpPr>
        <xdr:cNvPr id="10" name="Conector recto de flecha 9"/>
        <xdr:cNvCxnSpPr/>
      </xdr:nvCxnSpPr>
      <xdr:spPr>
        <a:xfrm flipV="1">
          <a:off x="2066925" y="3648075"/>
          <a:ext cx="4610100" cy="190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323849</xdr:colOff>
      <xdr:row>7</xdr:row>
      <xdr:rowOff>133350</xdr:rowOff>
    </xdr:from>
    <xdr:to>
      <xdr:col>34</xdr:col>
      <xdr:colOff>533400</xdr:colOff>
      <xdr:row>43</xdr:row>
      <xdr:rowOff>19050</xdr:rowOff>
    </xdr:to>
    <xdr:pic>
      <xdr:nvPicPr>
        <xdr:cNvPr id="2" name="Imagen 1"/>
        <xdr:cNvPicPr>
          <a:picLocks noChangeAspect="1"/>
        </xdr:cNvPicPr>
      </xdr:nvPicPr>
      <xdr:blipFill rotWithShape="1">
        <a:blip xmlns:r="http://schemas.openxmlformats.org/officeDocument/2006/relationships" r:embed="rId1"/>
        <a:srcRect l="6855" t="18492" r="3031" b="6931"/>
        <a:stretch/>
      </xdr:blipFill>
      <xdr:spPr>
        <a:xfrm>
          <a:off x="13849349" y="1581150"/>
          <a:ext cx="11791951" cy="552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657226</xdr:colOff>
      <xdr:row>26</xdr:row>
      <xdr:rowOff>1</xdr:rowOff>
    </xdr:to>
    <xdr:pic>
      <xdr:nvPicPr>
        <xdr:cNvPr id="2" name="Imagen 1"/>
        <xdr:cNvPicPr>
          <a:picLocks noChangeAspect="1"/>
        </xdr:cNvPicPr>
      </xdr:nvPicPr>
      <xdr:blipFill rotWithShape="1">
        <a:blip xmlns:r="http://schemas.openxmlformats.org/officeDocument/2006/relationships" r:embed="rId1"/>
        <a:srcRect l="15302" t="23050" r="15217" b="9233"/>
        <a:stretch/>
      </xdr:blipFill>
      <xdr:spPr>
        <a:xfrm>
          <a:off x="0" y="0"/>
          <a:ext cx="9039226" cy="4953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785811</xdr:colOff>
      <xdr:row>25</xdr:row>
      <xdr:rowOff>71437</xdr:rowOff>
    </xdr:from>
    <xdr:to>
      <xdr:col>6</xdr:col>
      <xdr:colOff>1168135</xdr:colOff>
      <xdr:row>42</xdr:row>
      <xdr:rowOff>119063</xdr:rowOff>
    </xdr:to>
    <xdr:pic>
      <xdr:nvPicPr>
        <xdr:cNvPr id="4" name="Imagen 3"/>
        <xdr:cNvPicPr>
          <a:picLocks noChangeAspect="1"/>
        </xdr:cNvPicPr>
      </xdr:nvPicPr>
      <xdr:blipFill rotWithShape="1">
        <a:blip xmlns:r="http://schemas.openxmlformats.org/officeDocument/2006/relationships" r:embed="rId1"/>
        <a:srcRect l="35929" t="38259" r="15496" b="31957"/>
        <a:stretch/>
      </xdr:blipFill>
      <xdr:spPr>
        <a:xfrm>
          <a:off x="785811" y="5529262"/>
          <a:ext cx="9550137" cy="32861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65646</xdr:colOff>
      <xdr:row>17</xdr:row>
      <xdr:rowOff>132928</xdr:rowOff>
    </xdr:from>
    <xdr:to>
      <xdr:col>4</xdr:col>
      <xdr:colOff>609601</xdr:colOff>
      <xdr:row>37</xdr:row>
      <xdr:rowOff>171239</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646" y="3533353"/>
          <a:ext cx="4706380" cy="38483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628650</xdr:colOff>
      <xdr:row>0</xdr:row>
      <xdr:rowOff>0</xdr:rowOff>
    </xdr:from>
    <xdr:to>
      <xdr:col>21</xdr:col>
      <xdr:colOff>133350</xdr:colOff>
      <xdr:row>26</xdr:row>
      <xdr:rowOff>95250</xdr:rowOff>
    </xdr:to>
    <xdr:pic>
      <xdr:nvPicPr>
        <xdr:cNvPr id="2" name="Imagen 1"/>
        <xdr:cNvPicPr>
          <a:picLocks noChangeAspect="1"/>
        </xdr:cNvPicPr>
      </xdr:nvPicPr>
      <xdr:blipFill rotWithShape="1">
        <a:blip xmlns:r="http://schemas.openxmlformats.org/officeDocument/2006/relationships" r:embed="rId1"/>
        <a:srcRect l="30897" t="25264" r="8480" b="5717"/>
        <a:stretch/>
      </xdr:blipFill>
      <xdr:spPr>
        <a:xfrm>
          <a:off x="8248650" y="2438400"/>
          <a:ext cx="7886700" cy="5048250"/>
        </a:xfrm>
        <a:prstGeom prst="rect">
          <a:avLst/>
        </a:prstGeom>
      </xdr:spPr>
    </xdr:pic>
    <xdr:clientData/>
  </xdr:twoCellAnchor>
  <xdr:twoCellAnchor editAs="oneCell">
    <xdr:from>
      <xdr:col>0</xdr:col>
      <xdr:colOff>228600</xdr:colOff>
      <xdr:row>0</xdr:row>
      <xdr:rowOff>0</xdr:rowOff>
    </xdr:from>
    <xdr:to>
      <xdr:col>10</xdr:col>
      <xdr:colOff>514350</xdr:colOff>
      <xdr:row>26</xdr:row>
      <xdr:rowOff>76200</xdr:rowOff>
    </xdr:to>
    <xdr:pic>
      <xdr:nvPicPr>
        <xdr:cNvPr id="3" name="Imagen 2"/>
        <xdr:cNvPicPr>
          <a:picLocks noChangeAspect="1"/>
        </xdr:cNvPicPr>
      </xdr:nvPicPr>
      <xdr:blipFill rotWithShape="1">
        <a:blip xmlns:r="http://schemas.openxmlformats.org/officeDocument/2006/relationships" r:embed="rId2"/>
        <a:srcRect l="30604" t="26045" r="8627" b="5196"/>
        <a:stretch/>
      </xdr:blipFill>
      <xdr:spPr>
        <a:xfrm>
          <a:off x="228600" y="2476500"/>
          <a:ext cx="7905750" cy="5029200"/>
        </a:xfrm>
        <a:prstGeom prst="rect">
          <a:avLst/>
        </a:prstGeom>
      </xdr:spPr>
    </xdr:pic>
    <xdr:clientData/>
  </xdr:twoCellAnchor>
  <xdr:twoCellAnchor editAs="oneCell">
    <xdr:from>
      <xdr:col>7</xdr:col>
      <xdr:colOff>380999</xdr:colOff>
      <xdr:row>4</xdr:row>
      <xdr:rowOff>142874</xdr:rowOff>
    </xdr:from>
    <xdr:to>
      <xdr:col>9</xdr:col>
      <xdr:colOff>511338</xdr:colOff>
      <xdr:row>6</xdr:row>
      <xdr:rowOff>47625</xdr:rowOff>
    </xdr:to>
    <xdr:pic>
      <xdr:nvPicPr>
        <xdr:cNvPr id="4" name="Imagen 3"/>
        <xdr:cNvPicPr>
          <a:picLocks noChangeAspect="1"/>
        </xdr:cNvPicPr>
      </xdr:nvPicPr>
      <xdr:blipFill rotWithShape="1">
        <a:blip xmlns:r="http://schemas.openxmlformats.org/officeDocument/2006/relationships" r:embed="rId3"/>
        <a:srcRect l="36754" t="73707" r="43917" b="21344"/>
        <a:stretch/>
      </xdr:blipFill>
      <xdr:spPr>
        <a:xfrm>
          <a:off x="5714999" y="3381374"/>
          <a:ext cx="1654339" cy="285751"/>
        </a:xfrm>
        <a:prstGeom prst="rect">
          <a:avLst/>
        </a:prstGeom>
      </xdr:spPr>
    </xdr:pic>
    <xdr:clientData/>
  </xdr:twoCellAnchor>
  <xdr:twoCellAnchor editAs="oneCell">
    <xdr:from>
      <xdr:col>17</xdr:col>
      <xdr:colOff>723900</xdr:colOff>
      <xdr:row>4</xdr:row>
      <xdr:rowOff>142875</xdr:rowOff>
    </xdr:from>
    <xdr:to>
      <xdr:col>20</xdr:col>
      <xdr:colOff>92239</xdr:colOff>
      <xdr:row>6</xdr:row>
      <xdr:rowOff>47626</xdr:rowOff>
    </xdr:to>
    <xdr:pic>
      <xdr:nvPicPr>
        <xdr:cNvPr id="5" name="Imagen 4"/>
        <xdr:cNvPicPr>
          <a:picLocks noChangeAspect="1"/>
        </xdr:cNvPicPr>
      </xdr:nvPicPr>
      <xdr:blipFill rotWithShape="1">
        <a:blip xmlns:r="http://schemas.openxmlformats.org/officeDocument/2006/relationships" r:embed="rId3"/>
        <a:srcRect l="36754" t="73707" r="43917" b="21344"/>
        <a:stretch/>
      </xdr:blipFill>
      <xdr:spPr>
        <a:xfrm>
          <a:off x="13677900" y="3381375"/>
          <a:ext cx="1654339" cy="2857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6512d3fc948f80f/Expediente%20Consultoria%20%5e0%20Capacitaciones%20COFISAD%20S.C/Curso%20CONTPAQi%20Contabildiad%20(BASICO)/Material%20Practico%20CONTPAQi%20Contabilidad/Reportes%20Fiscales%20NG_PF_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RESPALDO/CURSOS%20C.C.M.%20TODOS/01%20REGIMEN%20DE%20CONFIANZA/RESICO%202022/DECLARACION%20EXCEL%20SAT%20MOR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RESPALDO/MATERIAL%20GRUPO%20WHATSAPP/PAPELES%20DE%20TRABAJO/REGIMEN%20GENERAL%202021%20-%20curs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06512d3fc948f80f/Expediente%20Consultoria%20%5e0%20Capacitaciones%20COFISAD%20S.C/Curso%20CONTPAQi%20Contabildiad%20(BASICO)/Material%20Practico%20CONTPAQi%20Contabilidad/Reportes%20Fiscales%20NG%20PF_RIF_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RESPALDO/CURSOS%20C.C.M.%20TODOS/RIF/RIF%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20RESPALDO/CURSOS%20C.C.M.%20TODOS/PERSONA%20MORAL/PERSONAS%20MORALES%20PAPEL%20DE%20TRABAJO%20(EXPOSICION%20C.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8. Cedula ISR vs IETU"/>
      <sheetName val="Pagos Provisionales I.S.R."/>
      <sheetName val="7. Cedula Art 5 Y 6 LIETU"/>
      <sheetName val="6. Cedula IETU"/>
      <sheetName val="5.Cédula IVA"/>
      <sheetName val="2.Balance"/>
      <sheetName val="1.Edo Res"/>
      <sheetName val="Asignacion de Digitos"/>
      <sheetName val="Digitos"/>
      <sheetName val="Poliza"/>
      <sheetName val="Datos Sin Formato"/>
      <sheetName val="Reglas"/>
      <sheetName val="Datos Preparados"/>
      <sheetName val="Parametros"/>
      <sheetName val="Validaciones"/>
      <sheetName val="Definiciones"/>
      <sheetName val="Funciones Contables"/>
      <sheetName val="Funciones Bancarias"/>
      <sheetName val="Funciones ADD"/>
      <sheetName val="Tablas de ISR"/>
      <sheetName val="ContPA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H5">
            <v>0</v>
          </cell>
          <cell r="I5">
            <v>1.9199999999999998E-2</v>
          </cell>
        </row>
        <row r="6">
          <cell r="H6">
            <v>22.22</v>
          </cell>
          <cell r="I6">
            <v>6.4000000000000001E-2</v>
          </cell>
        </row>
        <row r="7">
          <cell r="H7">
            <v>576.66</v>
          </cell>
          <cell r="I7">
            <v>0.10879999999999999</v>
          </cell>
        </row>
        <row r="8">
          <cell r="H8">
            <v>1385.92</v>
          </cell>
          <cell r="I8">
            <v>0.16</v>
          </cell>
        </row>
        <row r="9">
          <cell r="H9">
            <v>1834.52</v>
          </cell>
          <cell r="I9">
            <v>0.1792</v>
          </cell>
        </row>
        <row r="10">
          <cell r="H10">
            <v>2543.7399999999998</v>
          </cell>
          <cell r="I10">
            <v>0.21360000000000001</v>
          </cell>
        </row>
        <row r="11">
          <cell r="H11">
            <v>7760.88</v>
          </cell>
          <cell r="I11">
            <v>0.23519999999999999</v>
          </cell>
        </row>
        <row r="12">
          <cell r="H12">
            <v>14325.48</v>
          </cell>
          <cell r="I12">
            <v>0.3</v>
          </cell>
        </row>
        <row r="13">
          <cell r="H13">
            <v>35151.379999999997</v>
          </cell>
          <cell r="I13">
            <v>0.32</v>
          </cell>
        </row>
        <row r="14">
          <cell r="H14">
            <v>50700.7</v>
          </cell>
          <cell r="I14">
            <v>0.34</v>
          </cell>
        </row>
        <row r="15">
          <cell r="H15">
            <v>182870.04</v>
          </cell>
          <cell r="I15">
            <v>0.35</v>
          </cell>
        </row>
        <row r="21">
          <cell r="C21">
            <v>0</v>
          </cell>
          <cell r="D21">
            <v>1.9199999999999998E-2</v>
          </cell>
          <cell r="H21">
            <v>0</v>
          </cell>
          <cell r="I21">
            <v>1.9199999999999998E-2</v>
          </cell>
        </row>
        <row r="22">
          <cell r="C22">
            <v>33.33</v>
          </cell>
          <cell r="D22">
            <v>6.4000000000000001E-2</v>
          </cell>
          <cell r="H22">
            <v>44.44</v>
          </cell>
          <cell r="I22">
            <v>6.4000000000000001E-2</v>
          </cell>
        </row>
        <row r="23">
          <cell r="C23">
            <v>864.99</v>
          </cell>
          <cell r="D23">
            <v>0.10879999999999999</v>
          </cell>
          <cell r="H23">
            <v>1153.32</v>
          </cell>
          <cell r="I23">
            <v>0.10879999999999999</v>
          </cell>
        </row>
        <row r="24">
          <cell r="C24">
            <v>2078.88</v>
          </cell>
          <cell r="D24">
            <v>0.16</v>
          </cell>
          <cell r="H24">
            <v>2771.84</v>
          </cell>
          <cell r="I24">
            <v>0.16</v>
          </cell>
        </row>
        <row r="25">
          <cell r="C25">
            <v>2751.78</v>
          </cell>
          <cell r="D25">
            <v>0.1792</v>
          </cell>
          <cell r="H25">
            <v>3669.04</v>
          </cell>
          <cell r="I25">
            <v>0.1792</v>
          </cell>
        </row>
        <row r="26">
          <cell r="C26">
            <v>3815.61</v>
          </cell>
          <cell r="D26">
            <v>0.21360000000000001</v>
          </cell>
          <cell r="H26">
            <v>5087.4799999999996</v>
          </cell>
          <cell r="I26">
            <v>0.21360000000000001</v>
          </cell>
        </row>
        <row r="27">
          <cell r="C27">
            <v>11641.32</v>
          </cell>
          <cell r="D27">
            <v>0.23519999999999999</v>
          </cell>
          <cell r="H27">
            <v>15521.76</v>
          </cell>
          <cell r="I27">
            <v>0.23519999999999999</v>
          </cell>
        </row>
        <row r="28">
          <cell r="C28">
            <v>21488.22</v>
          </cell>
          <cell r="D28">
            <v>0.3</v>
          </cell>
          <cell r="H28">
            <v>28650.959999999999</v>
          </cell>
          <cell r="I28">
            <v>0.3</v>
          </cell>
        </row>
        <row r="29">
          <cell r="C29">
            <v>52727.07</v>
          </cell>
          <cell r="D29">
            <v>0.32</v>
          </cell>
          <cell r="H29">
            <v>70302.759999999995</v>
          </cell>
          <cell r="I29">
            <v>0.32</v>
          </cell>
        </row>
        <row r="30">
          <cell r="C30">
            <v>76051.05</v>
          </cell>
          <cell r="D30">
            <v>0.34</v>
          </cell>
          <cell r="H30">
            <v>101401.4</v>
          </cell>
          <cell r="I30">
            <v>0.34</v>
          </cell>
        </row>
        <row r="31">
          <cell r="C31">
            <v>274305.06</v>
          </cell>
          <cell r="D31">
            <v>0.35</v>
          </cell>
          <cell r="H31">
            <v>365740.08</v>
          </cell>
          <cell r="I31">
            <v>0.35</v>
          </cell>
        </row>
        <row r="37">
          <cell r="C37">
            <v>0</v>
          </cell>
          <cell r="D37">
            <v>1.9199999999999998E-2</v>
          </cell>
          <cell r="H37">
            <v>0</v>
          </cell>
          <cell r="I37">
            <v>1.9199999999999998E-2</v>
          </cell>
        </row>
        <row r="38">
          <cell r="C38">
            <v>55.55</v>
          </cell>
          <cell r="D38">
            <v>6.4000000000000001E-2</v>
          </cell>
          <cell r="H38">
            <v>66.66</v>
          </cell>
          <cell r="I38">
            <v>6.4000000000000001E-2</v>
          </cell>
        </row>
        <row r="39">
          <cell r="C39">
            <v>1441.65</v>
          </cell>
          <cell r="D39">
            <v>0.10879999999999999</v>
          </cell>
          <cell r="H39">
            <v>1729.98</v>
          </cell>
          <cell r="I39">
            <v>0.10879999999999999</v>
          </cell>
        </row>
        <row r="40">
          <cell r="C40">
            <v>3464.8</v>
          </cell>
          <cell r="D40">
            <v>0.16</v>
          </cell>
          <cell r="H40">
            <v>4157.76</v>
          </cell>
          <cell r="I40">
            <v>0.16</v>
          </cell>
        </row>
        <row r="41">
          <cell r="C41">
            <v>4586.3</v>
          </cell>
          <cell r="D41">
            <v>0.1792</v>
          </cell>
          <cell r="H41">
            <v>5503.56</v>
          </cell>
          <cell r="I41">
            <v>0.1792</v>
          </cell>
        </row>
        <row r="42">
          <cell r="C42">
            <v>6359.35</v>
          </cell>
          <cell r="D42">
            <v>0.21360000000000001</v>
          </cell>
          <cell r="H42">
            <v>7631.22</v>
          </cell>
          <cell r="I42">
            <v>0.21360000000000001</v>
          </cell>
        </row>
        <row r="43">
          <cell r="C43">
            <v>19402.2</v>
          </cell>
          <cell r="D43">
            <v>0.23519999999999999</v>
          </cell>
          <cell r="H43">
            <v>23282.639999999999</v>
          </cell>
          <cell r="I43">
            <v>0.23519999999999999</v>
          </cell>
        </row>
        <row r="44">
          <cell r="C44">
            <v>35813.699999999997</v>
          </cell>
          <cell r="D44">
            <v>0.3</v>
          </cell>
          <cell r="H44">
            <v>42976.44</v>
          </cell>
          <cell r="I44">
            <v>0.3</v>
          </cell>
        </row>
        <row r="45">
          <cell r="C45">
            <v>87878.45</v>
          </cell>
          <cell r="D45">
            <v>0.32</v>
          </cell>
          <cell r="H45">
            <v>105454.14</v>
          </cell>
          <cell r="I45">
            <v>0.32</v>
          </cell>
        </row>
        <row r="46">
          <cell r="C46">
            <v>126751.75</v>
          </cell>
          <cell r="D46">
            <v>0.34</v>
          </cell>
          <cell r="H46">
            <v>152102.1</v>
          </cell>
          <cell r="I46">
            <v>0.34</v>
          </cell>
        </row>
        <row r="47">
          <cell r="C47">
            <v>457175.1</v>
          </cell>
          <cell r="D47">
            <v>0.35</v>
          </cell>
          <cell r="H47">
            <v>548610.12</v>
          </cell>
          <cell r="I47">
            <v>0.35</v>
          </cell>
        </row>
        <row r="53">
          <cell r="C53">
            <v>0</v>
          </cell>
          <cell r="D53">
            <v>1.9199999999999998E-2</v>
          </cell>
          <cell r="H53">
            <v>0</v>
          </cell>
          <cell r="I53">
            <v>1.9199999999999998E-2</v>
          </cell>
        </row>
        <row r="54">
          <cell r="C54">
            <v>77.77</v>
          </cell>
          <cell r="D54">
            <v>6.4000000000000001E-2</v>
          </cell>
          <cell r="H54">
            <v>88.88</v>
          </cell>
          <cell r="I54">
            <v>6.4000000000000001E-2</v>
          </cell>
        </row>
        <row r="55">
          <cell r="C55">
            <v>2018.31</v>
          </cell>
          <cell r="D55">
            <v>0.10879999999999999</v>
          </cell>
          <cell r="H55">
            <v>2306.64</v>
          </cell>
          <cell r="I55">
            <v>0.10879999999999999</v>
          </cell>
        </row>
        <row r="56">
          <cell r="C56">
            <v>4850.72</v>
          </cell>
          <cell r="D56">
            <v>0.16</v>
          </cell>
          <cell r="H56">
            <v>5543.68</v>
          </cell>
          <cell r="I56">
            <v>0.16</v>
          </cell>
        </row>
        <row r="57">
          <cell r="C57">
            <v>6420.82</v>
          </cell>
          <cell r="D57">
            <v>0.1792</v>
          </cell>
          <cell r="H57">
            <v>7338.08</v>
          </cell>
          <cell r="I57">
            <v>0.1792</v>
          </cell>
        </row>
        <row r="58">
          <cell r="C58">
            <v>8903.09</v>
          </cell>
          <cell r="D58">
            <v>0.21360000000000001</v>
          </cell>
          <cell r="H58">
            <v>10174.959999999999</v>
          </cell>
          <cell r="I58">
            <v>0.21360000000000001</v>
          </cell>
        </row>
        <row r="59">
          <cell r="C59">
            <v>27163.08</v>
          </cell>
          <cell r="D59">
            <v>0.23519999999999999</v>
          </cell>
          <cell r="H59">
            <v>31043.52</v>
          </cell>
          <cell r="I59">
            <v>0.23519999999999999</v>
          </cell>
        </row>
        <row r="60">
          <cell r="C60">
            <v>50139.18</v>
          </cell>
          <cell r="D60">
            <v>0.3</v>
          </cell>
          <cell r="H60">
            <v>57301.919999999998</v>
          </cell>
          <cell r="I60">
            <v>0.3</v>
          </cell>
        </row>
        <row r="61">
          <cell r="C61">
            <v>123029.83</v>
          </cell>
          <cell r="D61">
            <v>0.32</v>
          </cell>
          <cell r="H61">
            <v>140605.51999999999</v>
          </cell>
          <cell r="I61">
            <v>0.32</v>
          </cell>
        </row>
        <row r="62">
          <cell r="C62">
            <v>177452.45</v>
          </cell>
          <cell r="D62">
            <v>0.34</v>
          </cell>
          <cell r="H62">
            <v>202802.8</v>
          </cell>
          <cell r="I62">
            <v>0.34</v>
          </cell>
        </row>
        <row r="63">
          <cell r="C63">
            <v>640045.14</v>
          </cell>
          <cell r="D63">
            <v>0.35</v>
          </cell>
          <cell r="H63">
            <v>731480.16</v>
          </cell>
          <cell r="I63">
            <v>0.35</v>
          </cell>
        </row>
        <row r="69">
          <cell r="C69">
            <v>0</v>
          </cell>
          <cell r="D69">
            <v>1.9199999999999998E-2</v>
          </cell>
          <cell r="H69">
            <v>0</v>
          </cell>
          <cell r="I69">
            <v>1.9199999999999998E-2</v>
          </cell>
        </row>
        <row r="70">
          <cell r="C70">
            <v>99.99</v>
          </cell>
          <cell r="D70">
            <v>6.4000000000000001E-2</v>
          </cell>
          <cell r="H70">
            <v>111.1</v>
          </cell>
          <cell r="I70">
            <v>6.4000000000000001E-2</v>
          </cell>
        </row>
        <row r="71">
          <cell r="C71">
            <v>2594.9699999999998</v>
          </cell>
          <cell r="D71">
            <v>0.10879999999999999</v>
          </cell>
          <cell r="H71">
            <v>2883.3</v>
          </cell>
          <cell r="I71">
            <v>0.10879999999999999</v>
          </cell>
        </row>
        <row r="72">
          <cell r="C72">
            <v>6236.64</v>
          </cell>
          <cell r="D72">
            <v>0.16</v>
          </cell>
          <cell r="H72">
            <v>6929.6</v>
          </cell>
          <cell r="I72">
            <v>0.16</v>
          </cell>
        </row>
        <row r="73">
          <cell r="C73">
            <v>8255.34</v>
          </cell>
          <cell r="D73">
            <v>0.1792</v>
          </cell>
          <cell r="H73">
            <v>9172.6</v>
          </cell>
          <cell r="I73">
            <v>0.1792</v>
          </cell>
        </row>
        <row r="74">
          <cell r="C74">
            <v>11446.83</v>
          </cell>
          <cell r="D74">
            <v>0.21360000000000001</v>
          </cell>
          <cell r="H74">
            <v>12718.7</v>
          </cell>
          <cell r="I74">
            <v>0.21360000000000001</v>
          </cell>
        </row>
        <row r="75">
          <cell r="C75">
            <v>34923.96</v>
          </cell>
          <cell r="D75">
            <v>0.23519999999999999</v>
          </cell>
          <cell r="H75">
            <v>38804.400000000001</v>
          </cell>
          <cell r="I75">
            <v>0.23519999999999999</v>
          </cell>
        </row>
        <row r="76">
          <cell r="C76">
            <v>64464.66</v>
          </cell>
          <cell r="D76">
            <v>0.3</v>
          </cell>
          <cell r="H76">
            <v>71627.399999999994</v>
          </cell>
          <cell r="I76">
            <v>0.3</v>
          </cell>
        </row>
        <row r="77">
          <cell r="C77">
            <v>158181.21</v>
          </cell>
          <cell r="D77">
            <v>0.32</v>
          </cell>
          <cell r="H77">
            <v>175756.9</v>
          </cell>
          <cell r="I77">
            <v>0.32</v>
          </cell>
        </row>
        <row r="78">
          <cell r="C78">
            <v>228153.15</v>
          </cell>
          <cell r="D78">
            <v>0.34</v>
          </cell>
          <cell r="H78">
            <v>253503.5</v>
          </cell>
          <cell r="I78">
            <v>0.34</v>
          </cell>
        </row>
        <row r="79">
          <cell r="C79">
            <v>822915.18</v>
          </cell>
          <cell r="D79">
            <v>0.35</v>
          </cell>
          <cell r="H79">
            <v>914350.2</v>
          </cell>
          <cell r="I79">
            <v>0.35</v>
          </cell>
        </row>
        <row r="85">
          <cell r="C85">
            <v>0</v>
          </cell>
          <cell r="D85">
            <v>1.9199999999999998E-2</v>
          </cell>
          <cell r="H85">
            <v>0</v>
          </cell>
          <cell r="I85">
            <v>1.9199999999999998E-2</v>
          </cell>
        </row>
        <row r="86">
          <cell r="C86">
            <v>122.21</v>
          </cell>
          <cell r="D86">
            <v>6.4000000000000001E-2</v>
          </cell>
          <cell r="H86">
            <v>133.28</v>
          </cell>
          <cell r="I86">
            <v>6.4000000000000001E-2</v>
          </cell>
        </row>
        <row r="87">
          <cell r="C87">
            <v>3171.63</v>
          </cell>
          <cell r="D87">
            <v>0.10879999999999999</v>
          </cell>
          <cell r="H87">
            <v>3460.01</v>
          </cell>
          <cell r="I87">
            <v>0.10879999999999999</v>
          </cell>
        </row>
        <row r="88">
          <cell r="C88">
            <v>7622.56</v>
          </cell>
          <cell r="D88">
            <v>0.16</v>
          </cell>
          <cell r="H88">
            <v>8315.57</v>
          </cell>
          <cell r="I88">
            <v>0.16</v>
          </cell>
        </row>
        <row r="89">
          <cell r="C89">
            <v>10089.86</v>
          </cell>
          <cell r="D89">
            <v>0.1792</v>
          </cell>
          <cell r="H89">
            <v>11007.14</v>
          </cell>
          <cell r="I89">
            <v>0.1792</v>
          </cell>
        </row>
        <row r="90">
          <cell r="C90">
            <v>13990.57</v>
          </cell>
          <cell r="D90">
            <v>0.21360000000000001</v>
          </cell>
          <cell r="H90">
            <v>15262.49</v>
          </cell>
          <cell r="I90">
            <v>0.21360000000000001</v>
          </cell>
        </row>
        <row r="91">
          <cell r="C91">
            <v>42684.84</v>
          </cell>
          <cell r="D91">
            <v>0.23519999999999999</v>
          </cell>
          <cell r="H91">
            <v>46565.26</v>
          </cell>
          <cell r="I91">
            <v>0.23519999999999999</v>
          </cell>
        </row>
        <row r="92">
          <cell r="C92">
            <v>78790.14</v>
          </cell>
          <cell r="D92">
            <v>0.3</v>
          </cell>
          <cell r="H92">
            <v>85952.92</v>
          </cell>
          <cell r="I92">
            <v>0.3</v>
          </cell>
        </row>
        <row r="93">
          <cell r="C93">
            <v>193332.59</v>
          </cell>
          <cell r="D93">
            <v>0.32</v>
          </cell>
          <cell r="H93">
            <v>210908.23</v>
          </cell>
          <cell r="I93">
            <v>0.32</v>
          </cell>
        </row>
        <row r="94">
          <cell r="C94">
            <v>278853.84999999998</v>
          </cell>
          <cell r="D94">
            <v>0.34</v>
          </cell>
          <cell r="H94">
            <v>304204.21000000002</v>
          </cell>
          <cell r="I94">
            <v>0.34</v>
          </cell>
        </row>
        <row r="95">
          <cell r="C95">
            <v>1005785.22</v>
          </cell>
          <cell r="D95">
            <v>0.35</v>
          </cell>
          <cell r="H95">
            <v>1097220.21</v>
          </cell>
          <cell r="I95">
            <v>0.35</v>
          </cell>
        </row>
        <row r="100">
          <cell r="C100" t="str">
            <v>$</v>
          </cell>
          <cell r="D100" t="str">
            <v>%</v>
          </cell>
        </row>
        <row r="101">
          <cell r="C101">
            <v>0</v>
          </cell>
          <cell r="D101">
            <v>1.9199999999999998E-2</v>
          </cell>
        </row>
        <row r="102">
          <cell r="C102">
            <v>133.28</v>
          </cell>
          <cell r="D102">
            <v>6.4000000000000001E-2</v>
          </cell>
        </row>
        <row r="103">
          <cell r="C103">
            <v>3460.01</v>
          </cell>
          <cell r="D103">
            <v>0.10879999999999999</v>
          </cell>
        </row>
        <row r="104">
          <cell r="C104">
            <v>8315.57</v>
          </cell>
          <cell r="D104">
            <v>0.16</v>
          </cell>
        </row>
        <row r="105">
          <cell r="C105">
            <v>11007.14</v>
          </cell>
          <cell r="D105">
            <v>0.1792</v>
          </cell>
        </row>
        <row r="106">
          <cell r="C106">
            <v>15262.49</v>
          </cell>
          <cell r="D106">
            <v>0.21360000000000001</v>
          </cell>
        </row>
        <row r="107">
          <cell r="C107">
            <v>46565.26</v>
          </cell>
          <cell r="D107">
            <v>0.23519999999999999</v>
          </cell>
        </row>
        <row r="108">
          <cell r="C108">
            <v>85952.92</v>
          </cell>
          <cell r="D108">
            <v>0.3</v>
          </cell>
        </row>
        <row r="109">
          <cell r="C109">
            <v>210908.23</v>
          </cell>
          <cell r="D109">
            <v>0.32</v>
          </cell>
        </row>
        <row r="110">
          <cell r="C110">
            <v>304204.21000000002</v>
          </cell>
          <cell r="D110">
            <v>0.34</v>
          </cell>
        </row>
        <row r="111">
          <cell r="C111">
            <v>1097220.21</v>
          </cell>
          <cell r="D111">
            <v>0.35</v>
          </cell>
        </row>
      </sheetData>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INA"/>
      <sheetName val="EMITIDO"/>
      <sheetName val="RECIBIDO"/>
      <sheetName val="BANCOS "/>
      <sheetName val="ISR 1"/>
      <sheetName val="Hoja3"/>
      <sheetName val="Hoja2"/>
      <sheetName val="ISR 2"/>
      <sheetName val="Hoja4"/>
      <sheetName val="Hoja1"/>
      <sheetName val="IVA"/>
      <sheetName val="D.I."/>
      <sheetName val="PTU"/>
      <sheetName val="INPC"/>
      <sheetName val="ISR RETENCIONES "/>
      <sheetName val="DEDUCCIONES "/>
    </sheetNames>
    <sheetDataSet>
      <sheetData sheetId="0" refreshError="1"/>
      <sheetData sheetId="1">
        <row r="44">
          <cell r="AB44">
            <v>229184.53999999998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 Moral"/>
      <sheetName val="INGRESOS"/>
      <sheetName val="EGRESOS"/>
      <sheetName val="Personas Fisicas Act. Emp."/>
      <sheetName val="Cedula de IVA"/>
      <sheetName val="Tablas de ISR"/>
      <sheetName val="ISR ANUAL "/>
      <sheetName val="D.A.M."/>
      <sheetName val="D.P.A"/>
      <sheetName val="."/>
      <sheetName val="DEDUCCIONES "/>
      <sheetName val="DEPRECIACIONES"/>
      <sheetName val="Tablas de ISR RIF"/>
    </sheetNames>
    <sheetDataSet>
      <sheetData sheetId="0"/>
      <sheetData sheetId="1"/>
      <sheetData sheetId="2"/>
      <sheetData sheetId="3"/>
      <sheetData sheetId="4"/>
      <sheetData sheetId="5">
        <row r="5">
          <cell r="A5">
            <v>0.01</v>
          </cell>
          <cell r="B5">
            <v>644.58000000000004</v>
          </cell>
          <cell r="C5">
            <v>0</v>
          </cell>
          <cell r="D5">
            <v>1.9199999999999998E-2</v>
          </cell>
          <cell r="F5">
            <v>0.01</v>
          </cell>
          <cell r="G5">
            <v>1289.1600000000001</v>
          </cell>
          <cell r="H5">
            <v>0</v>
          </cell>
          <cell r="I5">
            <v>1.9199999999999998E-2</v>
          </cell>
        </row>
        <row r="6">
          <cell r="A6">
            <v>644.59</v>
          </cell>
          <cell r="B6">
            <v>5470.92</v>
          </cell>
          <cell r="C6">
            <v>12.38</v>
          </cell>
          <cell r="D6">
            <v>6.4000000000000001E-2</v>
          </cell>
          <cell r="F6">
            <v>1289.17</v>
          </cell>
          <cell r="G6">
            <v>10941.84</v>
          </cell>
          <cell r="H6">
            <v>24.76</v>
          </cell>
          <cell r="I6">
            <v>6.4000000000000001E-2</v>
          </cell>
        </row>
        <row r="7">
          <cell r="A7">
            <v>5470.93</v>
          </cell>
          <cell r="B7">
            <v>9614.66</v>
          </cell>
          <cell r="C7">
            <v>321.26</v>
          </cell>
          <cell r="D7">
            <v>0.10879999999999999</v>
          </cell>
          <cell r="F7">
            <v>10941.85</v>
          </cell>
          <cell r="G7">
            <v>19229.32</v>
          </cell>
          <cell r="H7">
            <v>642.52</v>
          </cell>
          <cell r="I7">
            <v>0.10879999999999999</v>
          </cell>
        </row>
        <row r="8">
          <cell r="A8">
            <v>9614.67</v>
          </cell>
          <cell r="B8">
            <v>11176.62</v>
          </cell>
          <cell r="C8">
            <v>772.1</v>
          </cell>
          <cell r="D8">
            <v>0.16</v>
          </cell>
          <cell r="F8">
            <v>19229.330000000002</v>
          </cell>
          <cell r="G8">
            <v>22353.24</v>
          </cell>
          <cell r="H8">
            <v>1544.2</v>
          </cell>
          <cell r="I8">
            <v>0.16</v>
          </cell>
        </row>
        <row r="9">
          <cell r="A9">
            <v>11176.63</v>
          </cell>
          <cell r="B9">
            <v>13381.47</v>
          </cell>
          <cell r="C9">
            <v>1022.01</v>
          </cell>
          <cell r="D9">
            <v>0.1792</v>
          </cell>
          <cell r="F9">
            <v>22353.25</v>
          </cell>
          <cell r="G9">
            <v>26762.94</v>
          </cell>
          <cell r="H9">
            <v>2044.02</v>
          </cell>
          <cell r="I9">
            <v>0.1792</v>
          </cell>
        </row>
        <row r="10">
          <cell r="A10">
            <v>13381.48</v>
          </cell>
          <cell r="B10">
            <v>26988.5</v>
          </cell>
          <cell r="C10">
            <v>1417.12</v>
          </cell>
          <cell r="D10">
            <v>0.21360000000000001</v>
          </cell>
          <cell r="F10">
            <v>26762.95</v>
          </cell>
          <cell r="G10">
            <v>53977</v>
          </cell>
          <cell r="H10">
            <v>2834.24</v>
          </cell>
          <cell r="I10">
            <v>0.21360000000000001</v>
          </cell>
        </row>
        <row r="11">
          <cell r="A11">
            <v>26988.51</v>
          </cell>
          <cell r="B11">
            <v>42537.58</v>
          </cell>
          <cell r="C11">
            <v>4323.58</v>
          </cell>
          <cell r="D11">
            <v>0.23519999999999999</v>
          </cell>
          <cell r="F11">
            <v>53977.01</v>
          </cell>
          <cell r="G11">
            <v>85075.16</v>
          </cell>
          <cell r="H11">
            <v>8647.16</v>
          </cell>
          <cell r="I11">
            <v>0.23519999999999999</v>
          </cell>
        </row>
        <row r="12">
          <cell r="A12">
            <v>42537.59</v>
          </cell>
          <cell r="B12">
            <v>81211.25</v>
          </cell>
          <cell r="C12">
            <v>7980.73</v>
          </cell>
          <cell r="D12">
            <v>0.3</v>
          </cell>
          <cell r="F12">
            <v>85075.17</v>
          </cell>
          <cell r="G12">
            <v>162422.5</v>
          </cell>
          <cell r="H12">
            <v>15961.46</v>
          </cell>
          <cell r="I12">
            <v>0.3</v>
          </cell>
        </row>
        <row r="13">
          <cell r="A13">
            <v>81211.259999999995</v>
          </cell>
          <cell r="B13">
            <v>108281.67</v>
          </cell>
          <cell r="C13">
            <v>19582.830000000002</v>
          </cell>
          <cell r="D13">
            <v>0.32</v>
          </cell>
          <cell r="F13">
            <v>162422.51</v>
          </cell>
          <cell r="G13">
            <v>216563.34</v>
          </cell>
          <cell r="H13">
            <v>39165.660000000003</v>
          </cell>
          <cell r="I13">
            <v>0.32</v>
          </cell>
        </row>
        <row r="14">
          <cell r="A14">
            <v>108281.68</v>
          </cell>
          <cell r="B14">
            <v>324845.01</v>
          </cell>
          <cell r="C14">
            <v>28245.360000000001</v>
          </cell>
          <cell r="D14">
            <v>0.34</v>
          </cell>
          <cell r="F14">
            <v>216563.35</v>
          </cell>
          <cell r="G14">
            <v>649690.02</v>
          </cell>
          <cell r="H14">
            <v>56490.720000000001</v>
          </cell>
          <cell r="I14">
            <v>0.34</v>
          </cell>
        </row>
        <row r="15">
          <cell r="A15">
            <v>324845.02</v>
          </cell>
          <cell r="B15" t="str">
            <v>En adelante</v>
          </cell>
          <cell r="C15">
            <v>101876.9</v>
          </cell>
          <cell r="D15">
            <v>0.35</v>
          </cell>
          <cell r="F15">
            <v>649690.03</v>
          </cell>
          <cell r="G15" t="str">
            <v>En adelante</v>
          </cell>
          <cell r="H15">
            <v>203753.8</v>
          </cell>
          <cell r="I15">
            <v>0.35</v>
          </cell>
        </row>
        <row r="21">
          <cell r="A21">
            <v>0.01</v>
          </cell>
          <cell r="B21">
            <v>1933.74</v>
          </cell>
          <cell r="C21">
            <v>0</v>
          </cell>
          <cell r="D21">
            <v>1.9199999999999998E-2</v>
          </cell>
          <cell r="F21">
            <v>0.01</v>
          </cell>
          <cell r="G21">
            <v>2578.3200000000002</v>
          </cell>
          <cell r="H21">
            <v>0</v>
          </cell>
          <cell r="I21">
            <v>1.9199999999999998E-2</v>
          </cell>
        </row>
        <row r="22">
          <cell r="A22">
            <v>1933.75</v>
          </cell>
          <cell r="B22">
            <v>16412.759999999998</v>
          </cell>
          <cell r="C22">
            <v>37.14</v>
          </cell>
          <cell r="D22">
            <v>6.4000000000000001E-2</v>
          </cell>
          <cell r="F22">
            <v>2578.33</v>
          </cell>
          <cell r="G22">
            <v>21883.68</v>
          </cell>
          <cell r="H22">
            <v>49.52</v>
          </cell>
          <cell r="I22">
            <v>6.4000000000000001E-2</v>
          </cell>
        </row>
        <row r="23">
          <cell r="A23">
            <v>16412.77</v>
          </cell>
          <cell r="B23">
            <v>28843.98</v>
          </cell>
          <cell r="C23">
            <v>963.78</v>
          </cell>
          <cell r="D23">
            <v>0.10879999999999999</v>
          </cell>
          <cell r="F23">
            <v>21883.69</v>
          </cell>
          <cell r="G23">
            <v>38458.639999999999</v>
          </cell>
          <cell r="H23">
            <v>1285.04</v>
          </cell>
          <cell r="I23">
            <v>0.10879999999999999</v>
          </cell>
        </row>
        <row r="24">
          <cell r="A24">
            <v>28843.99</v>
          </cell>
          <cell r="B24">
            <v>33529.86</v>
          </cell>
          <cell r="C24">
            <v>2316.3000000000002</v>
          </cell>
          <cell r="D24">
            <v>0.16</v>
          </cell>
          <cell r="F24">
            <v>38458.65</v>
          </cell>
          <cell r="G24">
            <v>44706.48</v>
          </cell>
          <cell r="H24">
            <v>3088.4</v>
          </cell>
          <cell r="I24">
            <v>0.16</v>
          </cell>
        </row>
        <row r="25">
          <cell r="A25">
            <v>33529.870000000003</v>
          </cell>
          <cell r="B25">
            <v>40144.410000000003</v>
          </cell>
          <cell r="C25">
            <v>3066.03</v>
          </cell>
          <cell r="D25">
            <v>0.1792</v>
          </cell>
          <cell r="F25">
            <v>44706.49</v>
          </cell>
          <cell r="G25">
            <v>53525.88</v>
          </cell>
          <cell r="H25">
            <v>4088.04</v>
          </cell>
          <cell r="I25">
            <v>0.1792</v>
          </cell>
        </row>
        <row r="26">
          <cell r="A26">
            <v>40144.42</v>
          </cell>
          <cell r="B26">
            <v>80965.5</v>
          </cell>
          <cell r="C26">
            <v>4251.3599999999997</v>
          </cell>
          <cell r="D26">
            <v>0.21360000000000001</v>
          </cell>
          <cell r="F26">
            <v>53525.89</v>
          </cell>
          <cell r="G26">
            <v>107954</v>
          </cell>
          <cell r="H26">
            <v>5668.48</v>
          </cell>
          <cell r="I26">
            <v>0.21360000000000001</v>
          </cell>
        </row>
        <row r="27">
          <cell r="A27">
            <v>80965.509999999995</v>
          </cell>
          <cell r="B27">
            <v>127612.74</v>
          </cell>
          <cell r="C27">
            <v>12970.74</v>
          </cell>
          <cell r="D27">
            <v>0.23519999999999999</v>
          </cell>
          <cell r="F27">
            <v>107954.01</v>
          </cell>
          <cell r="G27">
            <v>170150.32</v>
          </cell>
          <cell r="H27">
            <v>17294.32</v>
          </cell>
          <cell r="I27">
            <v>0.23519999999999999</v>
          </cell>
        </row>
        <row r="28">
          <cell r="A28">
            <v>127612.75</v>
          </cell>
          <cell r="B28">
            <v>243633.75</v>
          </cell>
          <cell r="C28">
            <v>23942.19</v>
          </cell>
          <cell r="D28">
            <v>0.3</v>
          </cell>
          <cell r="F28">
            <v>170150.33</v>
          </cell>
          <cell r="G28">
            <v>324845</v>
          </cell>
          <cell r="H28">
            <v>31922.92</v>
          </cell>
          <cell r="I28">
            <v>0.3</v>
          </cell>
        </row>
        <row r="29">
          <cell r="A29">
            <v>243633.76</v>
          </cell>
          <cell r="B29">
            <v>324845.01</v>
          </cell>
          <cell r="C29">
            <v>58748.49</v>
          </cell>
          <cell r="D29">
            <v>0.32</v>
          </cell>
          <cell r="F29">
            <v>324845.01</v>
          </cell>
          <cell r="G29">
            <v>433126.68</v>
          </cell>
          <cell r="H29">
            <v>78331.320000000007</v>
          </cell>
          <cell r="I29">
            <v>0.32</v>
          </cell>
        </row>
        <row r="30">
          <cell r="A30">
            <v>324845.02</v>
          </cell>
          <cell r="B30">
            <v>974535.03</v>
          </cell>
          <cell r="C30">
            <v>84736.08</v>
          </cell>
          <cell r="D30">
            <v>0.34</v>
          </cell>
          <cell r="F30">
            <v>433126.69</v>
          </cell>
          <cell r="G30">
            <v>1299380.04</v>
          </cell>
          <cell r="H30">
            <v>112981.44</v>
          </cell>
          <cell r="I30">
            <v>0.34</v>
          </cell>
        </row>
        <row r="31">
          <cell r="A31">
            <v>974535.04</v>
          </cell>
          <cell r="B31" t="str">
            <v>En adelante</v>
          </cell>
          <cell r="C31">
            <v>305630.7</v>
          </cell>
          <cell r="D31">
            <v>0.35</v>
          </cell>
          <cell r="F31">
            <v>1299380.05</v>
          </cell>
          <cell r="G31" t="str">
            <v>En adelante</v>
          </cell>
          <cell r="H31">
            <v>407507.6</v>
          </cell>
          <cell r="I31">
            <v>0.35</v>
          </cell>
        </row>
        <row r="37">
          <cell r="A37">
            <v>0.01</v>
          </cell>
          <cell r="B37">
            <v>3222.9</v>
          </cell>
          <cell r="C37">
            <v>0</v>
          </cell>
          <cell r="D37">
            <v>1.9199999999999998E-2</v>
          </cell>
          <cell r="F37">
            <v>0.01</v>
          </cell>
          <cell r="G37">
            <v>3867.48</v>
          </cell>
          <cell r="H37">
            <v>0</v>
          </cell>
          <cell r="I37">
            <v>1.9199999999999998E-2</v>
          </cell>
        </row>
        <row r="38">
          <cell r="A38">
            <v>3222.91</v>
          </cell>
          <cell r="B38">
            <v>27354.6</v>
          </cell>
          <cell r="C38">
            <v>61.9</v>
          </cell>
          <cell r="D38">
            <v>6.4000000000000001E-2</v>
          </cell>
          <cell r="F38">
            <v>3867.49</v>
          </cell>
          <cell r="G38">
            <v>32825.519999999997</v>
          </cell>
          <cell r="H38">
            <v>74.28</v>
          </cell>
          <cell r="I38">
            <v>6.4000000000000001E-2</v>
          </cell>
        </row>
        <row r="39">
          <cell r="A39">
            <v>27354.61</v>
          </cell>
          <cell r="B39">
            <v>48073.3</v>
          </cell>
          <cell r="C39">
            <v>1606.3</v>
          </cell>
          <cell r="D39">
            <v>0.10879999999999999</v>
          </cell>
          <cell r="F39">
            <v>32825.53</v>
          </cell>
          <cell r="G39">
            <v>57687.96</v>
          </cell>
          <cell r="H39">
            <v>1927.56</v>
          </cell>
          <cell r="I39">
            <v>0.10879999999999999</v>
          </cell>
        </row>
        <row r="40">
          <cell r="A40">
            <v>48073.31</v>
          </cell>
          <cell r="B40">
            <v>55883.1</v>
          </cell>
          <cell r="C40">
            <v>3860.5</v>
          </cell>
          <cell r="D40">
            <v>0.16</v>
          </cell>
          <cell r="F40">
            <v>57687.97</v>
          </cell>
          <cell r="G40">
            <v>67059.72</v>
          </cell>
          <cell r="H40">
            <v>4632.6000000000004</v>
          </cell>
          <cell r="I40">
            <v>0.16</v>
          </cell>
        </row>
        <row r="41">
          <cell r="A41">
            <v>55883.11</v>
          </cell>
          <cell r="B41">
            <v>66907.350000000006</v>
          </cell>
          <cell r="C41">
            <v>5110.05</v>
          </cell>
          <cell r="D41">
            <v>0.1792</v>
          </cell>
          <cell r="F41">
            <v>67059.73</v>
          </cell>
          <cell r="G41">
            <v>80288.820000000007</v>
          </cell>
          <cell r="H41">
            <v>6132.06</v>
          </cell>
          <cell r="I41">
            <v>0.1792</v>
          </cell>
        </row>
        <row r="42">
          <cell r="A42">
            <v>66907.360000000001</v>
          </cell>
          <cell r="B42">
            <v>134942.5</v>
          </cell>
          <cell r="C42">
            <v>7085.6</v>
          </cell>
          <cell r="D42">
            <v>0.21360000000000001</v>
          </cell>
          <cell r="F42">
            <v>80288.83</v>
          </cell>
          <cell r="G42">
            <v>161931</v>
          </cell>
          <cell r="H42">
            <v>8502.7199999999993</v>
          </cell>
          <cell r="I42">
            <v>0.21360000000000001</v>
          </cell>
        </row>
        <row r="43">
          <cell r="A43">
            <v>134942.51</v>
          </cell>
          <cell r="B43">
            <v>212687.9</v>
          </cell>
          <cell r="C43">
            <v>21617.9</v>
          </cell>
          <cell r="D43">
            <v>0.23519999999999999</v>
          </cell>
          <cell r="F43">
            <v>161931.01</v>
          </cell>
          <cell r="G43">
            <v>255225.48</v>
          </cell>
          <cell r="H43">
            <v>25941.48</v>
          </cell>
          <cell r="I43">
            <v>0.23519999999999999</v>
          </cell>
        </row>
        <row r="44">
          <cell r="A44">
            <v>212687.91</v>
          </cell>
          <cell r="B44">
            <v>406056.25</v>
          </cell>
          <cell r="C44">
            <v>39903.65</v>
          </cell>
          <cell r="D44">
            <v>0.3</v>
          </cell>
          <cell r="F44">
            <v>255225.49</v>
          </cell>
          <cell r="G44">
            <v>487267.5</v>
          </cell>
          <cell r="H44">
            <v>47884.38</v>
          </cell>
          <cell r="I44">
            <v>0.3</v>
          </cell>
        </row>
        <row r="45">
          <cell r="A45">
            <v>406056.26</v>
          </cell>
          <cell r="B45">
            <v>541408.35</v>
          </cell>
          <cell r="C45">
            <v>97914.15</v>
          </cell>
          <cell r="D45">
            <v>0.32</v>
          </cell>
          <cell r="F45">
            <v>487267.51</v>
          </cell>
          <cell r="G45">
            <v>649690.02</v>
          </cell>
          <cell r="H45">
            <v>117496.98</v>
          </cell>
          <cell r="I45">
            <v>0.32</v>
          </cell>
        </row>
        <row r="46">
          <cell r="A46">
            <v>541408.36</v>
          </cell>
          <cell r="B46">
            <v>1624225.05</v>
          </cell>
          <cell r="C46">
            <v>141226.79999999999</v>
          </cell>
          <cell r="D46">
            <v>0.34</v>
          </cell>
          <cell r="F46">
            <v>649690.03</v>
          </cell>
          <cell r="G46">
            <v>1949070.06</v>
          </cell>
          <cell r="H46">
            <v>169472.16</v>
          </cell>
          <cell r="I46">
            <v>0.34</v>
          </cell>
        </row>
        <row r="47">
          <cell r="A47">
            <v>1624225.06</v>
          </cell>
          <cell r="B47" t="str">
            <v>En adelante</v>
          </cell>
          <cell r="C47">
            <v>509384.5</v>
          </cell>
          <cell r="D47">
            <v>0.35</v>
          </cell>
          <cell r="F47">
            <v>1949070.07</v>
          </cell>
          <cell r="G47" t="str">
            <v>En adelante</v>
          </cell>
          <cell r="H47">
            <v>611261.4</v>
          </cell>
          <cell r="I47">
            <v>0.35</v>
          </cell>
        </row>
        <row r="53">
          <cell r="A53">
            <v>0.01</v>
          </cell>
          <cell r="B53">
            <v>4512.0600000000004</v>
          </cell>
          <cell r="C53">
            <v>0</v>
          </cell>
          <cell r="D53">
            <v>1.9199999999999998E-2</v>
          </cell>
          <cell r="F53">
            <v>0.01</v>
          </cell>
          <cell r="G53">
            <v>5156.6400000000003</v>
          </cell>
          <cell r="H53">
            <v>0</v>
          </cell>
          <cell r="I53">
            <v>1.9199999999999998E-2</v>
          </cell>
        </row>
        <row r="54">
          <cell r="A54">
            <v>4512.07</v>
          </cell>
          <cell r="B54">
            <v>38296.44</v>
          </cell>
          <cell r="C54">
            <v>86.66</v>
          </cell>
          <cell r="D54">
            <v>6.4000000000000001E-2</v>
          </cell>
          <cell r="F54">
            <v>5156.6499999999996</v>
          </cell>
          <cell r="G54">
            <v>43767.360000000001</v>
          </cell>
          <cell r="H54">
            <v>99.04</v>
          </cell>
          <cell r="I54">
            <v>6.4000000000000001E-2</v>
          </cell>
        </row>
        <row r="55">
          <cell r="A55">
            <v>38296.449999999997</v>
          </cell>
          <cell r="B55">
            <v>67302.62</v>
          </cell>
          <cell r="C55">
            <v>2248.8200000000002</v>
          </cell>
          <cell r="D55">
            <v>0.10879999999999999</v>
          </cell>
          <cell r="F55">
            <v>43767.37</v>
          </cell>
          <cell r="G55">
            <v>76917.279999999999</v>
          </cell>
          <cell r="H55">
            <v>2570.08</v>
          </cell>
          <cell r="I55">
            <v>0.10879999999999999</v>
          </cell>
        </row>
        <row r="56">
          <cell r="A56">
            <v>67302.63</v>
          </cell>
          <cell r="B56">
            <v>78236.34</v>
          </cell>
          <cell r="C56">
            <v>5404.7</v>
          </cell>
          <cell r="D56">
            <v>0.16</v>
          </cell>
          <cell r="F56">
            <v>76917.289999999994</v>
          </cell>
          <cell r="G56">
            <v>89412.96</v>
          </cell>
          <cell r="H56">
            <v>6176.8</v>
          </cell>
          <cell r="I56">
            <v>0.16</v>
          </cell>
        </row>
        <row r="57">
          <cell r="A57">
            <v>78236.350000000006</v>
          </cell>
          <cell r="B57">
            <v>93670.29</v>
          </cell>
          <cell r="C57">
            <v>7154.07</v>
          </cell>
          <cell r="D57">
            <v>0.1792</v>
          </cell>
          <cell r="F57">
            <v>89412.97</v>
          </cell>
          <cell r="G57">
            <v>107051.76</v>
          </cell>
          <cell r="H57">
            <v>8176.08</v>
          </cell>
          <cell r="I57">
            <v>0.1792</v>
          </cell>
        </row>
        <row r="58">
          <cell r="A58">
            <v>93670.3</v>
          </cell>
          <cell r="B58">
            <v>188919.5</v>
          </cell>
          <cell r="C58">
            <v>9919.84</v>
          </cell>
          <cell r="D58">
            <v>0.21360000000000001</v>
          </cell>
          <cell r="F58">
            <v>107051.77</v>
          </cell>
          <cell r="G58">
            <v>215908</v>
          </cell>
          <cell r="H58">
            <v>11336.96</v>
          </cell>
          <cell r="I58">
            <v>0.21360000000000001</v>
          </cell>
        </row>
        <row r="59">
          <cell r="A59">
            <v>188919.51</v>
          </cell>
          <cell r="B59">
            <v>297763.06</v>
          </cell>
          <cell r="C59">
            <v>30265.06</v>
          </cell>
          <cell r="D59">
            <v>0.23519999999999999</v>
          </cell>
          <cell r="F59">
            <v>215908.01</v>
          </cell>
          <cell r="G59">
            <v>340300.64</v>
          </cell>
          <cell r="H59">
            <v>34588.639999999999</v>
          </cell>
          <cell r="I59">
            <v>0.23519999999999999</v>
          </cell>
        </row>
        <row r="60">
          <cell r="A60">
            <v>297763.07</v>
          </cell>
          <cell r="B60">
            <v>568478.75</v>
          </cell>
          <cell r="C60">
            <v>55865.11</v>
          </cell>
          <cell r="D60">
            <v>0.3</v>
          </cell>
          <cell r="F60">
            <v>340300.65</v>
          </cell>
          <cell r="G60">
            <v>649690</v>
          </cell>
          <cell r="H60">
            <v>63845.84</v>
          </cell>
          <cell r="I60">
            <v>0.3</v>
          </cell>
        </row>
        <row r="61">
          <cell r="A61">
            <v>568478.76</v>
          </cell>
          <cell r="B61">
            <v>757971.69</v>
          </cell>
          <cell r="C61">
            <v>137079.81</v>
          </cell>
          <cell r="D61">
            <v>0.32</v>
          </cell>
          <cell r="F61">
            <v>649690.01</v>
          </cell>
          <cell r="G61">
            <v>866253.36</v>
          </cell>
          <cell r="H61">
            <v>156662.64000000001</v>
          </cell>
          <cell r="I61">
            <v>0.32</v>
          </cell>
        </row>
        <row r="62">
          <cell r="A62">
            <v>757971.7</v>
          </cell>
          <cell r="B62">
            <v>2273915.0699999998</v>
          </cell>
          <cell r="C62">
            <v>197717.52</v>
          </cell>
          <cell r="D62">
            <v>0.34</v>
          </cell>
          <cell r="F62">
            <v>866253.37</v>
          </cell>
          <cell r="G62">
            <v>2598760.08</v>
          </cell>
          <cell r="H62">
            <v>225962.88</v>
          </cell>
          <cell r="I62">
            <v>0.34</v>
          </cell>
        </row>
        <row r="63">
          <cell r="A63">
            <v>2273915.08</v>
          </cell>
          <cell r="B63" t="str">
            <v>En adelante</v>
          </cell>
          <cell r="C63">
            <v>713138.3</v>
          </cell>
          <cell r="D63">
            <v>0.35</v>
          </cell>
          <cell r="F63">
            <v>2598760.09</v>
          </cell>
          <cell r="G63" t="str">
            <v>En adelante</v>
          </cell>
          <cell r="H63">
            <v>815015.2</v>
          </cell>
          <cell r="I63">
            <v>0.35</v>
          </cell>
        </row>
        <row r="69">
          <cell r="A69">
            <v>0.01</v>
          </cell>
          <cell r="B69">
            <v>5801.22</v>
          </cell>
          <cell r="C69">
            <v>0</v>
          </cell>
          <cell r="D69">
            <v>1.9199999999999998E-2</v>
          </cell>
          <cell r="F69">
            <v>0.01</v>
          </cell>
          <cell r="G69">
            <v>6445.8</v>
          </cell>
          <cell r="H69">
            <v>0</v>
          </cell>
          <cell r="I69">
            <v>1.9199999999999998E-2</v>
          </cell>
        </row>
        <row r="70">
          <cell r="A70">
            <v>5801.23</v>
          </cell>
          <cell r="B70">
            <v>49238.28</v>
          </cell>
          <cell r="C70">
            <v>111.42</v>
          </cell>
          <cell r="D70">
            <v>6.4000000000000001E-2</v>
          </cell>
          <cell r="F70">
            <v>6445.81</v>
          </cell>
          <cell r="G70">
            <v>54709.2</v>
          </cell>
          <cell r="H70">
            <v>123.8</v>
          </cell>
          <cell r="I70">
            <v>6.4000000000000001E-2</v>
          </cell>
        </row>
        <row r="71">
          <cell r="A71">
            <v>49238.29</v>
          </cell>
          <cell r="B71">
            <v>86531.94</v>
          </cell>
          <cell r="C71">
            <v>2891.34</v>
          </cell>
          <cell r="D71">
            <v>0.10879999999999999</v>
          </cell>
          <cell r="F71">
            <v>54709.21</v>
          </cell>
          <cell r="G71">
            <v>96146.6</v>
          </cell>
          <cell r="H71">
            <v>3212.6</v>
          </cell>
          <cell r="I71">
            <v>0.10879999999999999</v>
          </cell>
        </row>
        <row r="72">
          <cell r="A72">
            <v>86531.95</v>
          </cell>
          <cell r="B72">
            <v>100589.58</v>
          </cell>
          <cell r="C72">
            <v>6948.9</v>
          </cell>
          <cell r="D72">
            <v>0.16</v>
          </cell>
          <cell r="F72">
            <v>96146.61</v>
          </cell>
          <cell r="G72">
            <v>111766.2</v>
          </cell>
          <cell r="H72">
            <v>7721</v>
          </cell>
          <cell r="I72">
            <v>0.16</v>
          </cell>
        </row>
        <row r="73">
          <cell r="A73">
            <v>100589.59</v>
          </cell>
          <cell r="B73">
            <v>120433.23</v>
          </cell>
          <cell r="C73">
            <v>9198.09</v>
          </cell>
          <cell r="D73">
            <v>0.1792</v>
          </cell>
          <cell r="F73">
            <v>111766.21</v>
          </cell>
          <cell r="G73">
            <v>133814.70000000001</v>
          </cell>
          <cell r="H73">
            <v>10220.1</v>
          </cell>
          <cell r="I73">
            <v>0.1792</v>
          </cell>
        </row>
        <row r="74">
          <cell r="A74">
            <v>120433.24</v>
          </cell>
          <cell r="B74">
            <v>242896.5</v>
          </cell>
          <cell r="C74">
            <v>12754.08</v>
          </cell>
          <cell r="D74">
            <v>0.21360000000000001</v>
          </cell>
          <cell r="F74">
            <v>133814.71</v>
          </cell>
          <cell r="G74">
            <v>269885</v>
          </cell>
          <cell r="H74">
            <v>14171.2</v>
          </cell>
          <cell r="I74">
            <v>0.21360000000000001</v>
          </cell>
        </row>
        <row r="75">
          <cell r="A75">
            <v>242896.51</v>
          </cell>
          <cell r="B75">
            <v>382838.22</v>
          </cell>
          <cell r="C75">
            <v>38912.22</v>
          </cell>
          <cell r="D75">
            <v>0.23519999999999999</v>
          </cell>
          <cell r="F75">
            <v>269885.01</v>
          </cell>
          <cell r="G75">
            <v>425375.8</v>
          </cell>
          <cell r="H75">
            <v>43235.8</v>
          </cell>
          <cell r="I75">
            <v>0.23519999999999999</v>
          </cell>
        </row>
        <row r="76">
          <cell r="A76">
            <v>382838.23</v>
          </cell>
          <cell r="B76">
            <v>730901.25</v>
          </cell>
          <cell r="C76">
            <v>71826.570000000007</v>
          </cell>
          <cell r="D76">
            <v>0.3</v>
          </cell>
          <cell r="F76">
            <v>425375.81</v>
          </cell>
          <cell r="G76">
            <v>812112.5</v>
          </cell>
          <cell r="H76">
            <v>79807.3</v>
          </cell>
          <cell r="I76">
            <v>0.3</v>
          </cell>
        </row>
        <row r="77">
          <cell r="A77">
            <v>730901.26</v>
          </cell>
          <cell r="B77">
            <v>974535.03</v>
          </cell>
          <cell r="C77">
            <v>176245.47</v>
          </cell>
          <cell r="D77">
            <v>0.32</v>
          </cell>
          <cell r="F77">
            <v>812112.51</v>
          </cell>
          <cell r="G77">
            <v>1082816.7</v>
          </cell>
          <cell r="H77">
            <v>195828.3</v>
          </cell>
          <cell r="I77">
            <v>0.32</v>
          </cell>
        </row>
        <row r="78">
          <cell r="A78">
            <v>974535.04</v>
          </cell>
          <cell r="B78">
            <v>2923605.09</v>
          </cell>
          <cell r="C78">
            <v>254208.24</v>
          </cell>
          <cell r="D78">
            <v>0.34</v>
          </cell>
          <cell r="F78">
            <v>1082816.71</v>
          </cell>
          <cell r="G78">
            <v>3248450.1</v>
          </cell>
          <cell r="H78">
            <v>282453.59999999998</v>
          </cell>
          <cell r="I78">
            <v>0.34</v>
          </cell>
        </row>
        <row r="79">
          <cell r="A79">
            <v>2923605.1</v>
          </cell>
          <cell r="B79" t="str">
            <v>En adelante</v>
          </cell>
          <cell r="C79">
            <v>916892.1</v>
          </cell>
          <cell r="D79">
            <v>0.35</v>
          </cell>
          <cell r="F79">
            <v>3248450.11</v>
          </cell>
          <cell r="G79" t="str">
            <v>En adelante</v>
          </cell>
          <cell r="H79">
            <v>1018769</v>
          </cell>
          <cell r="I79">
            <v>0.35</v>
          </cell>
        </row>
        <row r="85">
          <cell r="A85">
            <v>0.01</v>
          </cell>
          <cell r="B85">
            <v>7090.38</v>
          </cell>
          <cell r="C85">
            <v>0</v>
          </cell>
          <cell r="D85">
            <v>1.9199999999999998E-2</v>
          </cell>
          <cell r="F85">
            <v>0.01</v>
          </cell>
          <cell r="G85">
            <v>7735</v>
          </cell>
          <cell r="H85">
            <v>0</v>
          </cell>
          <cell r="I85">
            <v>1.9199999999999998E-2</v>
          </cell>
        </row>
        <row r="86">
          <cell r="A86">
            <v>7090.39</v>
          </cell>
          <cell r="B86">
            <v>60180.12</v>
          </cell>
          <cell r="C86">
            <v>136.18</v>
          </cell>
          <cell r="D86">
            <v>6.4000000000000001E-2</v>
          </cell>
          <cell r="F86">
            <v>7735.01</v>
          </cell>
          <cell r="G86">
            <v>65651.070000000007</v>
          </cell>
          <cell r="H86">
            <v>148.51</v>
          </cell>
          <cell r="I86">
            <v>6.4000000000000001E-2</v>
          </cell>
        </row>
        <row r="87">
          <cell r="A87">
            <v>60180.13</v>
          </cell>
          <cell r="B87">
            <v>105761.26</v>
          </cell>
          <cell r="C87">
            <v>3533.86</v>
          </cell>
          <cell r="D87">
            <v>0.10879999999999999</v>
          </cell>
          <cell r="F87">
            <v>65651.08</v>
          </cell>
          <cell r="G87">
            <v>115375.9</v>
          </cell>
          <cell r="H87">
            <v>3855.14</v>
          </cell>
          <cell r="I87">
            <v>0.10879999999999999</v>
          </cell>
        </row>
        <row r="88">
          <cell r="A88">
            <v>105761.27</v>
          </cell>
          <cell r="B88">
            <v>122942.82</v>
          </cell>
          <cell r="C88">
            <v>8493.1</v>
          </cell>
          <cell r="D88">
            <v>0.16</v>
          </cell>
          <cell r="F88">
            <v>115375.91</v>
          </cell>
          <cell r="G88">
            <v>134119.41</v>
          </cell>
          <cell r="H88">
            <v>9265.2000000000007</v>
          </cell>
          <cell r="I88">
            <v>0.16</v>
          </cell>
        </row>
        <row r="89">
          <cell r="A89">
            <v>122942.83</v>
          </cell>
          <cell r="B89">
            <v>147196.17000000001</v>
          </cell>
          <cell r="C89">
            <v>11242.11</v>
          </cell>
          <cell r="D89">
            <v>0.1792</v>
          </cell>
          <cell r="F89">
            <v>134119.42000000001</v>
          </cell>
          <cell r="G89">
            <v>160577.65</v>
          </cell>
          <cell r="H89">
            <v>12264.16</v>
          </cell>
          <cell r="I89">
            <v>0.1792</v>
          </cell>
        </row>
        <row r="90">
          <cell r="A90">
            <v>147196.18</v>
          </cell>
          <cell r="B90">
            <v>296873.5</v>
          </cell>
          <cell r="C90">
            <v>15588.32</v>
          </cell>
          <cell r="D90">
            <v>0.21360000000000001</v>
          </cell>
          <cell r="F90">
            <v>160577.66</v>
          </cell>
          <cell r="G90">
            <v>323862</v>
          </cell>
          <cell r="H90">
            <v>17005.47</v>
          </cell>
          <cell r="I90">
            <v>0.21360000000000001</v>
          </cell>
        </row>
        <row r="91">
          <cell r="A91">
            <v>296873.51</v>
          </cell>
          <cell r="B91">
            <v>467913.38</v>
          </cell>
          <cell r="C91">
            <v>47559.38</v>
          </cell>
          <cell r="D91">
            <v>0.23519999999999999</v>
          </cell>
          <cell r="F91">
            <v>323862.01</v>
          </cell>
          <cell r="G91">
            <v>510451</v>
          </cell>
          <cell r="H91">
            <v>51883.01</v>
          </cell>
          <cell r="I91">
            <v>0.23519999999999999</v>
          </cell>
        </row>
        <row r="92">
          <cell r="A92">
            <v>467913.39</v>
          </cell>
          <cell r="B92">
            <v>893323.75</v>
          </cell>
          <cell r="C92">
            <v>87788.03</v>
          </cell>
          <cell r="D92">
            <v>0.3</v>
          </cell>
          <cell r="F92">
            <v>510451.01</v>
          </cell>
          <cell r="G92">
            <v>974535.03</v>
          </cell>
          <cell r="H92">
            <v>95768.74</v>
          </cell>
          <cell r="I92">
            <v>0.3</v>
          </cell>
        </row>
        <row r="93">
          <cell r="A93">
            <v>893323.76</v>
          </cell>
          <cell r="B93">
            <v>1191098.3700000001</v>
          </cell>
          <cell r="C93">
            <v>215411.13</v>
          </cell>
          <cell r="D93">
            <v>0.32</v>
          </cell>
          <cell r="F93">
            <v>974535.04</v>
          </cell>
          <cell r="G93">
            <v>1299380.04</v>
          </cell>
          <cell r="H93">
            <v>234993.95</v>
          </cell>
          <cell r="I93">
            <v>0.32</v>
          </cell>
        </row>
        <row r="94">
          <cell r="A94">
            <v>1191098.3799999999</v>
          </cell>
          <cell r="B94">
            <v>3573295.11</v>
          </cell>
          <cell r="C94">
            <v>310698.96000000002</v>
          </cell>
          <cell r="D94">
            <v>0.34</v>
          </cell>
          <cell r="F94">
            <v>1299380.05</v>
          </cell>
          <cell r="G94">
            <v>3898140.12</v>
          </cell>
          <cell r="H94">
            <v>338944.34</v>
          </cell>
          <cell r="I94">
            <v>0.34</v>
          </cell>
        </row>
        <row r="95">
          <cell r="A95">
            <v>3573295.12</v>
          </cell>
          <cell r="B95" t="str">
            <v>En adelante</v>
          </cell>
          <cell r="C95">
            <v>1120645.8999999999</v>
          </cell>
          <cell r="D95">
            <v>0.35</v>
          </cell>
          <cell r="F95">
            <v>3898140.13</v>
          </cell>
          <cell r="G95" t="str">
            <v>En adelante</v>
          </cell>
          <cell r="H95">
            <v>1222522.76</v>
          </cell>
          <cell r="I95">
            <v>0.35</v>
          </cell>
        </row>
        <row r="96">
          <cell r="A96">
            <v>0</v>
          </cell>
        </row>
        <row r="100">
          <cell r="A100" t="str">
            <v>$</v>
          </cell>
          <cell r="B100" t="str">
            <v>$</v>
          </cell>
          <cell r="C100" t="str">
            <v>$</v>
          </cell>
        </row>
        <row r="101">
          <cell r="A101">
            <v>0.01</v>
          </cell>
          <cell r="B101">
            <v>7735</v>
          </cell>
          <cell r="C101">
            <v>0</v>
          </cell>
        </row>
        <row r="102">
          <cell r="A102">
            <v>7735.01</v>
          </cell>
          <cell r="B102">
            <v>65651.070000000007</v>
          </cell>
          <cell r="C102">
            <v>148.51</v>
          </cell>
        </row>
        <row r="103">
          <cell r="A103">
            <v>65651.08</v>
          </cell>
          <cell r="B103">
            <v>115375.9</v>
          </cell>
          <cell r="C103">
            <v>3855.14</v>
          </cell>
        </row>
        <row r="104">
          <cell r="A104">
            <v>115375.91</v>
          </cell>
          <cell r="B104">
            <v>134119.41</v>
          </cell>
          <cell r="C104">
            <v>9265.2000000000007</v>
          </cell>
        </row>
        <row r="105">
          <cell r="A105">
            <v>134119.42000000001</v>
          </cell>
          <cell r="B105">
            <v>160577.65</v>
          </cell>
          <cell r="C105">
            <v>12264.16</v>
          </cell>
        </row>
        <row r="106">
          <cell r="A106">
            <v>160577.66</v>
          </cell>
          <cell r="B106">
            <v>323862</v>
          </cell>
          <cell r="C106">
            <v>17005.47</v>
          </cell>
        </row>
        <row r="107">
          <cell r="A107">
            <v>323862.01</v>
          </cell>
          <cell r="B107">
            <v>510451</v>
          </cell>
          <cell r="C107">
            <v>51883.01</v>
          </cell>
        </row>
        <row r="108">
          <cell r="A108">
            <v>510451.01</v>
          </cell>
          <cell r="B108">
            <v>974535.03</v>
          </cell>
          <cell r="C108">
            <v>95768.74</v>
          </cell>
        </row>
        <row r="109">
          <cell r="A109">
            <v>974535.04</v>
          </cell>
          <cell r="B109">
            <v>1299380.04</v>
          </cell>
          <cell r="C109">
            <v>234993.95</v>
          </cell>
        </row>
        <row r="110">
          <cell r="A110">
            <v>1299380.05</v>
          </cell>
          <cell r="B110">
            <v>3898140.12</v>
          </cell>
          <cell r="C110">
            <v>338944.34</v>
          </cell>
        </row>
        <row r="111">
          <cell r="A111">
            <v>3898140.13</v>
          </cell>
          <cell r="B111" t="str">
            <v>En adelante</v>
          </cell>
          <cell r="C111">
            <v>1222522.76</v>
          </cell>
        </row>
      </sheetData>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Definitivos I.S.R."/>
      <sheetName val="4. Cedula IETU"/>
      <sheetName val="3.Cédula IVA"/>
      <sheetName val="2.Balance"/>
      <sheetName val="1.Edo Res"/>
      <sheetName val="Asignacion de Digitos"/>
      <sheetName val="Digitos"/>
      <sheetName val="Poliza"/>
      <sheetName val="Datos Sin Formato"/>
      <sheetName val="Reglas"/>
      <sheetName val="Datos Preparados"/>
      <sheetName val="Parametros"/>
      <sheetName val="Validaciones"/>
      <sheetName val="Definiciones"/>
      <sheetName val="Funciones Contables"/>
      <sheetName val="Funciones Bancarias"/>
      <sheetName val="Tablas de ISR"/>
      <sheetName val="ContPAQ"/>
    </sheetNames>
    <sheetDataSet>
      <sheetData sheetId="0" refreshError="1"/>
      <sheetData sheetId="1">
        <row r="6">
          <cell r="B6">
            <v>5920</v>
          </cell>
        </row>
        <row r="10">
          <cell r="B1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A5">
            <v>0.01</v>
          </cell>
          <cell r="B5">
            <v>578.52</v>
          </cell>
          <cell r="C5">
            <v>0</v>
          </cell>
          <cell r="D5">
            <v>1.9199999999999998E-2</v>
          </cell>
        </row>
        <row r="6">
          <cell r="A6">
            <v>578.53</v>
          </cell>
          <cell r="B6">
            <v>4910.18</v>
          </cell>
          <cell r="C6">
            <v>11.11</v>
          </cell>
          <cell r="D6">
            <v>6.4000000000000001E-2</v>
          </cell>
        </row>
        <row r="7">
          <cell r="A7">
            <v>4910.1899999999996</v>
          </cell>
          <cell r="B7">
            <v>8629.2000000000007</v>
          </cell>
          <cell r="C7">
            <v>288.33</v>
          </cell>
          <cell r="D7">
            <v>0.10879999999999999</v>
          </cell>
        </row>
        <row r="8">
          <cell r="A8">
            <v>8629.2099999999991</v>
          </cell>
          <cell r="B8">
            <v>10031.07</v>
          </cell>
          <cell r="C8">
            <v>692.96</v>
          </cell>
          <cell r="D8">
            <v>0.16</v>
          </cell>
        </row>
        <row r="9">
          <cell r="A9">
            <v>10031.08</v>
          </cell>
          <cell r="B9">
            <v>12009.94</v>
          </cell>
          <cell r="C9">
            <v>917.26</v>
          </cell>
          <cell r="D9">
            <v>0.1792</v>
          </cell>
        </row>
        <row r="10">
          <cell r="A10">
            <v>12009.95</v>
          </cell>
          <cell r="B10">
            <v>24222.31</v>
          </cell>
          <cell r="C10">
            <v>1271.8699999999999</v>
          </cell>
          <cell r="D10">
            <v>0.21360000000000001</v>
          </cell>
        </row>
        <row r="11">
          <cell r="A11">
            <v>24222.32</v>
          </cell>
          <cell r="B11">
            <v>38177.69</v>
          </cell>
          <cell r="C11">
            <v>3880.44</v>
          </cell>
          <cell r="D11">
            <v>0.23519999999999999</v>
          </cell>
        </row>
        <row r="12">
          <cell r="A12">
            <v>38177.699999999997</v>
          </cell>
          <cell r="B12">
            <v>72887.5</v>
          </cell>
          <cell r="C12">
            <v>7162.74</v>
          </cell>
          <cell r="D12">
            <v>0.3</v>
          </cell>
        </row>
        <row r="13">
          <cell r="A13">
            <v>72887.509999999995</v>
          </cell>
          <cell r="B13">
            <v>97183.33</v>
          </cell>
          <cell r="C13">
            <v>17575.689999999999</v>
          </cell>
          <cell r="D13">
            <v>0.32</v>
          </cell>
        </row>
        <row r="14">
          <cell r="A14">
            <v>97183.34</v>
          </cell>
          <cell r="B14">
            <v>291550</v>
          </cell>
          <cell r="C14">
            <v>25350.35</v>
          </cell>
          <cell r="D14">
            <v>0.34</v>
          </cell>
        </row>
        <row r="15">
          <cell r="A15">
            <v>291550.01</v>
          </cell>
          <cell r="B15" t="str">
            <v>En adelante</v>
          </cell>
          <cell r="C15">
            <v>91435.02</v>
          </cell>
          <cell r="D15">
            <v>0.35</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dula de IVA"/>
      <sheetName val="Persona Moral"/>
      <sheetName val="Personas Fisicas Act. Emp."/>
      <sheetName val="Personas Fisicas RIF"/>
      <sheetName val="Tablas de ISR"/>
      <sheetName val="Tablas de ISR RIF"/>
    </sheetNames>
    <sheetDataSet>
      <sheetData sheetId="0"/>
      <sheetData sheetId="1"/>
      <sheetData sheetId="2"/>
      <sheetData sheetId="3"/>
      <sheetData sheetId="4"/>
      <sheetData sheetId="5">
        <row r="5">
          <cell r="F5">
            <v>0.01</v>
          </cell>
          <cell r="G5">
            <v>1157.04</v>
          </cell>
          <cell r="H5">
            <v>0</v>
          </cell>
          <cell r="I5">
            <v>1.9199999999999998E-2</v>
          </cell>
        </row>
        <row r="6">
          <cell r="F6">
            <v>1157.05</v>
          </cell>
          <cell r="G6">
            <v>9820.36</v>
          </cell>
          <cell r="H6">
            <v>22.22</v>
          </cell>
          <cell r="I6">
            <v>6.4000000000000001E-2</v>
          </cell>
        </row>
        <row r="7">
          <cell r="F7">
            <v>9820.3700000000008</v>
          </cell>
          <cell r="G7">
            <v>17258.400000000001</v>
          </cell>
          <cell r="H7">
            <v>576.66</v>
          </cell>
          <cell r="I7">
            <v>0.10879999999999999</v>
          </cell>
        </row>
        <row r="8">
          <cell r="F8">
            <v>17258.41</v>
          </cell>
          <cell r="G8">
            <v>20062.14</v>
          </cell>
          <cell r="H8">
            <v>1385.92</v>
          </cell>
          <cell r="I8">
            <v>0.16</v>
          </cell>
        </row>
        <row r="9">
          <cell r="F9">
            <v>20062.150000000001</v>
          </cell>
          <cell r="G9">
            <v>24019.88</v>
          </cell>
          <cell r="H9">
            <v>1834.52</v>
          </cell>
          <cell r="I9">
            <v>0.1792</v>
          </cell>
        </row>
        <row r="10">
          <cell r="F10">
            <v>24019.89</v>
          </cell>
          <cell r="G10">
            <v>48444.62</v>
          </cell>
          <cell r="H10">
            <v>2543.7399999999998</v>
          </cell>
          <cell r="I10">
            <v>0.21360000000000001</v>
          </cell>
        </row>
        <row r="11">
          <cell r="F11">
            <v>48444.63</v>
          </cell>
          <cell r="G11">
            <v>76355.38</v>
          </cell>
          <cell r="H11">
            <v>7760.88</v>
          </cell>
          <cell r="I11">
            <v>0.23519999999999999</v>
          </cell>
        </row>
        <row r="12">
          <cell r="F12">
            <v>76355.39</v>
          </cell>
          <cell r="G12">
            <v>145775</v>
          </cell>
          <cell r="H12">
            <v>14325.48</v>
          </cell>
          <cell r="I12">
            <v>0.3</v>
          </cell>
        </row>
        <row r="13">
          <cell r="F13">
            <v>145775.01</v>
          </cell>
          <cell r="G13">
            <v>194366.66</v>
          </cell>
          <cell r="H13">
            <v>35151.379999999997</v>
          </cell>
          <cell r="I13">
            <v>0.32</v>
          </cell>
        </row>
        <row r="14">
          <cell r="F14">
            <v>194366.67</v>
          </cell>
          <cell r="G14">
            <v>583100</v>
          </cell>
          <cell r="H14">
            <v>50700.7</v>
          </cell>
          <cell r="I14">
            <v>0.34</v>
          </cell>
        </row>
        <row r="15">
          <cell r="F15">
            <v>583100.01</v>
          </cell>
          <cell r="G15" t="str">
            <v>En adelante</v>
          </cell>
          <cell r="H15">
            <v>182870.04</v>
          </cell>
          <cell r="I15">
            <v>0.35</v>
          </cell>
        </row>
        <row r="21">
          <cell r="F21">
            <v>0.01</v>
          </cell>
          <cell r="G21">
            <v>2314.08</v>
          </cell>
          <cell r="H21">
            <v>0</v>
          </cell>
          <cell r="I21">
            <v>1.9199999999999998E-2</v>
          </cell>
        </row>
        <row r="22">
          <cell r="F22">
            <v>2314.09</v>
          </cell>
          <cell r="G22">
            <v>19640.72</v>
          </cell>
          <cell r="H22">
            <v>44.44</v>
          </cell>
          <cell r="I22">
            <v>6.4000000000000001E-2</v>
          </cell>
        </row>
        <row r="23">
          <cell r="F23">
            <v>19640.73</v>
          </cell>
          <cell r="G23">
            <v>34516.800000000003</v>
          </cell>
          <cell r="H23">
            <v>1153.32</v>
          </cell>
          <cell r="I23">
            <v>0.10879999999999999</v>
          </cell>
        </row>
        <row r="24">
          <cell r="F24">
            <v>34516.81</v>
          </cell>
          <cell r="G24">
            <v>40124.28</v>
          </cell>
          <cell r="H24">
            <v>2771.84</v>
          </cell>
          <cell r="I24">
            <v>0.16</v>
          </cell>
        </row>
        <row r="25">
          <cell r="F25">
            <v>40124.29</v>
          </cell>
          <cell r="G25">
            <v>48039.76</v>
          </cell>
          <cell r="H25">
            <v>3669.04</v>
          </cell>
          <cell r="I25">
            <v>0.1792</v>
          </cell>
        </row>
        <row r="26">
          <cell r="F26">
            <v>48039.77</v>
          </cell>
          <cell r="G26">
            <v>96889.24</v>
          </cell>
          <cell r="H26">
            <v>5087.4799999999996</v>
          </cell>
          <cell r="I26">
            <v>0.21360000000000001</v>
          </cell>
        </row>
        <row r="27">
          <cell r="F27">
            <v>96889.25</v>
          </cell>
          <cell r="G27">
            <v>152710.76</v>
          </cell>
          <cell r="H27">
            <v>15521.76</v>
          </cell>
          <cell r="I27">
            <v>0.23519999999999999</v>
          </cell>
        </row>
        <row r="28">
          <cell r="F28">
            <v>152710.76999999999</v>
          </cell>
          <cell r="G28">
            <v>291550</v>
          </cell>
          <cell r="H28">
            <v>28650.959999999999</v>
          </cell>
          <cell r="I28">
            <v>0.3</v>
          </cell>
        </row>
        <row r="29">
          <cell r="F29">
            <v>291550.01</v>
          </cell>
          <cell r="G29">
            <v>388733.32</v>
          </cell>
          <cell r="H29">
            <v>70302.759999999995</v>
          </cell>
          <cell r="I29">
            <v>0.32</v>
          </cell>
        </row>
        <row r="30">
          <cell r="F30">
            <v>388733.33</v>
          </cell>
          <cell r="G30">
            <v>1166200</v>
          </cell>
          <cell r="H30">
            <v>101401.4</v>
          </cell>
          <cell r="I30">
            <v>0.34</v>
          </cell>
        </row>
        <row r="31">
          <cell r="F31">
            <v>1166200.01</v>
          </cell>
          <cell r="G31" t="str">
            <v>En adelante</v>
          </cell>
          <cell r="H31">
            <v>365740.08</v>
          </cell>
          <cell r="I31">
            <v>0.35</v>
          </cell>
        </row>
        <row r="37">
          <cell r="F37">
            <v>0.01</v>
          </cell>
          <cell r="G37">
            <v>3471.12</v>
          </cell>
          <cell r="H37">
            <v>0</v>
          </cell>
          <cell r="I37">
            <v>1.9199999999999998E-2</v>
          </cell>
        </row>
        <row r="38">
          <cell r="F38">
            <v>3471.13</v>
          </cell>
          <cell r="G38">
            <v>29461.08</v>
          </cell>
          <cell r="H38">
            <v>66.66</v>
          </cell>
          <cell r="I38">
            <v>6.4000000000000001E-2</v>
          </cell>
        </row>
        <row r="39">
          <cell r="F39">
            <v>29461.09</v>
          </cell>
          <cell r="G39">
            <v>51775.199999999997</v>
          </cell>
          <cell r="H39">
            <v>1729.98</v>
          </cell>
          <cell r="I39">
            <v>0.10879999999999999</v>
          </cell>
        </row>
        <row r="40">
          <cell r="F40">
            <v>51775.21</v>
          </cell>
          <cell r="G40">
            <v>60186.42</v>
          </cell>
          <cell r="H40">
            <v>4157.76</v>
          </cell>
          <cell r="I40">
            <v>0.16</v>
          </cell>
        </row>
        <row r="41">
          <cell r="F41">
            <v>60186.43</v>
          </cell>
          <cell r="G41">
            <v>72059.64</v>
          </cell>
          <cell r="H41">
            <v>5503.56</v>
          </cell>
          <cell r="I41">
            <v>0.1792</v>
          </cell>
        </row>
        <row r="42">
          <cell r="F42">
            <v>72059.649999999994</v>
          </cell>
          <cell r="G42">
            <v>145333.85999999999</v>
          </cell>
          <cell r="H42">
            <v>7631.22</v>
          </cell>
          <cell r="I42">
            <v>0.21360000000000001</v>
          </cell>
        </row>
        <row r="43">
          <cell r="F43">
            <v>145333.87</v>
          </cell>
          <cell r="G43">
            <v>229066.14</v>
          </cell>
          <cell r="H43">
            <v>23282.639999999999</v>
          </cell>
          <cell r="I43">
            <v>0.23519999999999999</v>
          </cell>
        </row>
        <row r="44">
          <cell r="F44">
            <v>229066.15</v>
          </cell>
          <cell r="G44">
            <v>437325</v>
          </cell>
          <cell r="H44">
            <v>42976.44</v>
          </cell>
          <cell r="I44">
            <v>0.3</v>
          </cell>
        </row>
        <row r="45">
          <cell r="F45">
            <v>437325.01</v>
          </cell>
          <cell r="G45">
            <v>583099.98</v>
          </cell>
          <cell r="H45">
            <v>105454.14</v>
          </cell>
          <cell r="I45">
            <v>0.32</v>
          </cell>
        </row>
        <row r="46">
          <cell r="F46">
            <v>583099.99</v>
          </cell>
          <cell r="G46">
            <v>1749300</v>
          </cell>
          <cell r="H46">
            <v>152102.1</v>
          </cell>
          <cell r="I46">
            <v>0.34</v>
          </cell>
        </row>
        <row r="47">
          <cell r="F47">
            <v>1749300.01</v>
          </cell>
          <cell r="G47" t="str">
            <v>En adelante</v>
          </cell>
          <cell r="H47">
            <v>548610.12</v>
          </cell>
          <cell r="I47">
            <v>0.35</v>
          </cell>
        </row>
        <row r="53">
          <cell r="F53">
            <v>0.01</v>
          </cell>
          <cell r="G53">
            <v>4628.16</v>
          </cell>
          <cell r="H53">
            <v>0</v>
          </cell>
          <cell r="I53">
            <v>1.9199999999999998E-2</v>
          </cell>
        </row>
        <row r="54">
          <cell r="F54">
            <v>4628.17</v>
          </cell>
          <cell r="G54">
            <v>39281.440000000002</v>
          </cell>
          <cell r="H54">
            <v>88.88</v>
          </cell>
          <cell r="I54">
            <v>6.4000000000000001E-2</v>
          </cell>
        </row>
        <row r="55">
          <cell r="F55">
            <v>39281.449999999997</v>
          </cell>
          <cell r="G55">
            <v>69033.600000000006</v>
          </cell>
          <cell r="H55">
            <v>2306.64</v>
          </cell>
          <cell r="I55">
            <v>0.10879999999999999</v>
          </cell>
        </row>
        <row r="56">
          <cell r="F56">
            <v>69033.61</v>
          </cell>
          <cell r="G56">
            <v>80248.56</v>
          </cell>
          <cell r="H56">
            <v>5543.68</v>
          </cell>
          <cell r="I56">
            <v>0.16</v>
          </cell>
        </row>
        <row r="57">
          <cell r="F57">
            <v>80248.570000000007</v>
          </cell>
          <cell r="G57">
            <v>96079.52</v>
          </cell>
          <cell r="H57">
            <v>7338.08</v>
          </cell>
          <cell r="I57">
            <v>0.1792</v>
          </cell>
        </row>
        <row r="58">
          <cell r="F58">
            <v>96079.53</v>
          </cell>
          <cell r="G58">
            <v>193778.48</v>
          </cell>
          <cell r="H58">
            <v>10174.959999999999</v>
          </cell>
          <cell r="I58">
            <v>0.21360000000000001</v>
          </cell>
        </row>
        <row r="59">
          <cell r="F59">
            <v>193778.49</v>
          </cell>
          <cell r="G59">
            <v>305421.52</v>
          </cell>
          <cell r="H59">
            <v>31043.52</v>
          </cell>
          <cell r="I59">
            <v>0.23519999999999999</v>
          </cell>
        </row>
        <row r="60">
          <cell r="F60">
            <v>305421.53000000003</v>
          </cell>
          <cell r="G60">
            <v>583100</v>
          </cell>
          <cell r="H60">
            <v>57301.919999999998</v>
          </cell>
          <cell r="I60">
            <v>0.3</v>
          </cell>
        </row>
        <row r="61">
          <cell r="F61">
            <v>583100.01</v>
          </cell>
          <cell r="G61">
            <v>777466.64</v>
          </cell>
          <cell r="H61">
            <v>140605.51999999999</v>
          </cell>
          <cell r="I61">
            <v>0.32</v>
          </cell>
        </row>
        <row r="62">
          <cell r="F62">
            <v>777466.65</v>
          </cell>
          <cell r="G62">
            <v>2332400</v>
          </cell>
          <cell r="H62">
            <v>202802.8</v>
          </cell>
          <cell r="I62">
            <v>0.34</v>
          </cell>
        </row>
        <row r="63">
          <cell r="F63">
            <v>2332400.0099999998</v>
          </cell>
          <cell r="G63" t="str">
            <v>En adelante</v>
          </cell>
          <cell r="H63">
            <v>731480.16</v>
          </cell>
          <cell r="I63">
            <v>0.35</v>
          </cell>
        </row>
        <row r="69">
          <cell r="F69">
            <v>0.01</v>
          </cell>
          <cell r="G69">
            <v>5785.2</v>
          </cell>
          <cell r="H69">
            <v>0</v>
          </cell>
          <cell r="I69">
            <v>1.9199999999999998E-2</v>
          </cell>
        </row>
        <row r="70">
          <cell r="F70">
            <v>5785.21</v>
          </cell>
          <cell r="G70">
            <v>49101.8</v>
          </cell>
          <cell r="H70">
            <v>111.1</v>
          </cell>
          <cell r="I70">
            <v>6.4000000000000001E-2</v>
          </cell>
        </row>
        <row r="71">
          <cell r="F71">
            <v>49101.81</v>
          </cell>
          <cell r="G71">
            <v>86292</v>
          </cell>
          <cell r="H71">
            <v>2883.3</v>
          </cell>
          <cell r="I71">
            <v>0.10879999999999999</v>
          </cell>
        </row>
        <row r="72">
          <cell r="F72">
            <v>86292.01</v>
          </cell>
          <cell r="G72">
            <v>100310.7</v>
          </cell>
          <cell r="H72">
            <v>6929.6</v>
          </cell>
          <cell r="I72">
            <v>0.16</v>
          </cell>
        </row>
        <row r="73">
          <cell r="F73">
            <v>100310.71</v>
          </cell>
          <cell r="G73">
            <v>120099.4</v>
          </cell>
          <cell r="H73">
            <v>9172.6</v>
          </cell>
          <cell r="I73">
            <v>0.1792</v>
          </cell>
        </row>
        <row r="74">
          <cell r="F74">
            <v>120099.41</v>
          </cell>
          <cell r="G74">
            <v>242223.1</v>
          </cell>
          <cell r="H74">
            <v>12718.7</v>
          </cell>
          <cell r="I74">
            <v>0.21360000000000001</v>
          </cell>
        </row>
        <row r="75">
          <cell r="F75">
            <v>242223.11</v>
          </cell>
          <cell r="G75">
            <v>381776.9</v>
          </cell>
          <cell r="H75">
            <v>38804.400000000001</v>
          </cell>
          <cell r="I75">
            <v>0.23519999999999999</v>
          </cell>
        </row>
        <row r="76">
          <cell r="F76">
            <v>381776.91</v>
          </cell>
          <cell r="G76">
            <v>728875</v>
          </cell>
          <cell r="H76">
            <v>71627.399999999994</v>
          </cell>
          <cell r="I76">
            <v>0.3</v>
          </cell>
        </row>
        <row r="77">
          <cell r="F77">
            <v>728875.01</v>
          </cell>
          <cell r="G77">
            <v>971833.3</v>
          </cell>
          <cell r="H77">
            <v>175756.9</v>
          </cell>
          <cell r="I77">
            <v>0.32</v>
          </cell>
        </row>
        <row r="78">
          <cell r="F78">
            <v>971833.31</v>
          </cell>
          <cell r="G78">
            <v>2915500</v>
          </cell>
          <cell r="H78">
            <v>253503.5</v>
          </cell>
          <cell r="I78">
            <v>0.34</v>
          </cell>
        </row>
        <row r="79">
          <cell r="F79">
            <v>2915500.01</v>
          </cell>
          <cell r="G79" t="str">
            <v>En adelante</v>
          </cell>
          <cell r="H79">
            <v>914350.2</v>
          </cell>
          <cell r="I79">
            <v>0.35</v>
          </cell>
        </row>
        <row r="85">
          <cell r="F85">
            <v>0.01</v>
          </cell>
          <cell r="G85">
            <v>6942.2</v>
          </cell>
          <cell r="H85">
            <v>0</v>
          </cell>
          <cell r="I85">
            <v>1.9199999999999998E-2</v>
          </cell>
        </row>
        <row r="86">
          <cell r="F86">
            <v>6942.21</v>
          </cell>
          <cell r="G86">
            <v>58922.16</v>
          </cell>
          <cell r="H86">
            <v>133.28</v>
          </cell>
          <cell r="I86">
            <v>6.4000000000000001E-2</v>
          </cell>
        </row>
        <row r="87">
          <cell r="F87">
            <v>58922.17</v>
          </cell>
          <cell r="G87">
            <v>103550.44</v>
          </cell>
          <cell r="H87">
            <v>3460.01</v>
          </cell>
          <cell r="I87">
            <v>0.10879999999999999</v>
          </cell>
        </row>
        <row r="88">
          <cell r="F88">
            <v>103550.45</v>
          </cell>
          <cell r="G88">
            <v>120372.83</v>
          </cell>
          <cell r="H88">
            <v>8315.57</v>
          </cell>
          <cell r="I88">
            <v>0.16</v>
          </cell>
        </row>
        <row r="89">
          <cell r="F89">
            <v>120372.84</v>
          </cell>
          <cell r="G89">
            <v>144119.23000000001</v>
          </cell>
          <cell r="H89">
            <v>11007.14</v>
          </cell>
          <cell r="I89">
            <v>0.1792</v>
          </cell>
        </row>
        <row r="90">
          <cell r="F90">
            <v>144119.24</v>
          </cell>
          <cell r="G90">
            <v>290667.75</v>
          </cell>
          <cell r="H90">
            <v>15262.49</v>
          </cell>
          <cell r="I90">
            <v>0.21360000000000001</v>
          </cell>
        </row>
        <row r="91">
          <cell r="F91">
            <v>290667.76</v>
          </cell>
          <cell r="G91">
            <v>458132.29</v>
          </cell>
          <cell r="H91">
            <v>46565.26</v>
          </cell>
          <cell r="I91">
            <v>0.23519999999999999</v>
          </cell>
        </row>
        <row r="92">
          <cell r="F92">
            <v>458132.3</v>
          </cell>
          <cell r="G92">
            <v>874650</v>
          </cell>
          <cell r="H92">
            <v>85952.92</v>
          </cell>
          <cell r="I92">
            <v>0.3</v>
          </cell>
        </row>
        <row r="93">
          <cell r="F93">
            <v>874650.01</v>
          </cell>
          <cell r="G93">
            <v>1166200</v>
          </cell>
          <cell r="H93">
            <v>210908.23</v>
          </cell>
          <cell r="I93">
            <v>0.32</v>
          </cell>
        </row>
        <row r="94">
          <cell r="F94">
            <v>1166200.01</v>
          </cell>
          <cell r="G94">
            <v>3498600</v>
          </cell>
          <cell r="H94">
            <v>304204.21000000002</v>
          </cell>
          <cell r="I94">
            <v>0.34</v>
          </cell>
        </row>
        <row r="95">
          <cell r="F95">
            <v>3498600.01</v>
          </cell>
          <cell r="G95" t="str">
            <v>En adelante</v>
          </cell>
          <cell r="H95">
            <v>1097220.21</v>
          </cell>
          <cell r="I95">
            <v>0.35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
      <sheetName val="PAGOS P"/>
      <sheetName val="PAGO PERDIDA"/>
      <sheetName val="PERDIDA EJERCICIO"/>
      <sheetName val="VENTA ACTIVO"/>
      <sheetName val="INPC"/>
      <sheetName val="AJUSTE ANUAL"/>
      <sheetName val="DEPRECIACION"/>
      <sheetName val="CON-FIS"/>
      <sheetName val="ISR"/>
      <sheetName val="C.U"/>
      <sheetName val="PTU"/>
      <sheetName val="."/>
      <sheetName val="CUCA"/>
    </sheetNames>
    <sheetDataSet>
      <sheetData sheetId="0"/>
      <sheetData sheetId="1"/>
      <sheetData sheetId="2"/>
      <sheetData sheetId="3"/>
      <sheetData sheetId="4"/>
      <sheetData sheetId="5"/>
      <sheetData sheetId="6"/>
      <sheetData sheetId="7"/>
      <sheetData sheetId="8"/>
      <sheetData sheetId="9">
        <row r="27">
          <cell r="D27">
            <v>5798710.3399999999</v>
          </cell>
        </row>
      </sheetData>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hyperlink" Target="https://www.youtube.com/watch?v=p4dXfU9Gm4k&amp;t=12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youtube.com/watch?v=p4dXfU9Gm4k&amp;t=12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youtube.com/watch?v=p4dXfU9Gm4k&amp;t=12s"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youtube.com/watch?v=p4dXfU9Gm4k&amp;t=12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youtube.com/watch?v=W_OKlvz2lMc&amp;t=3075s" TargetMode="External"/><Relationship Id="rId13" Type="http://schemas.openxmlformats.org/officeDocument/2006/relationships/hyperlink" Target="https://www.youtube.com/watch?v=O9Spo5IQQ4o&amp;t=244s" TargetMode="External"/><Relationship Id="rId18" Type="http://schemas.openxmlformats.org/officeDocument/2006/relationships/hyperlink" Target="https://www.youtube.com/watch?v=9nFYlHD4qVY&amp;t=984s" TargetMode="External"/><Relationship Id="rId3" Type="http://schemas.openxmlformats.org/officeDocument/2006/relationships/hyperlink" Target="https://www.youtube.com/watch?v=Aj8Vu8uW9r0&amp;t=4995s" TargetMode="External"/><Relationship Id="rId21" Type="http://schemas.openxmlformats.org/officeDocument/2006/relationships/hyperlink" Target="https://www.youtube.com/watch?v=4-yvcwz8igs&amp;t=4546s" TargetMode="External"/><Relationship Id="rId7" Type="http://schemas.openxmlformats.org/officeDocument/2006/relationships/hyperlink" Target="https://www.youtube.com/watch?v=1TWaX5PDrn8&amp;t=5740s" TargetMode="External"/><Relationship Id="rId12" Type="http://schemas.openxmlformats.org/officeDocument/2006/relationships/hyperlink" Target="https://www.youtube.com/watch?v=hevEYsirPbM&amp;t=67s" TargetMode="External"/><Relationship Id="rId17" Type="http://schemas.openxmlformats.org/officeDocument/2006/relationships/hyperlink" Target="https://www.youtube.com/watch?v=5f5jNaCaGRg&amp;t=2261s" TargetMode="External"/><Relationship Id="rId2" Type="http://schemas.openxmlformats.org/officeDocument/2006/relationships/hyperlink" Target="https://www.consultorescontablesmx.com/about-5" TargetMode="External"/><Relationship Id="rId16" Type="http://schemas.openxmlformats.org/officeDocument/2006/relationships/hyperlink" Target="https://www.youtube.com/watch?v=CveRcswb9EE" TargetMode="External"/><Relationship Id="rId20" Type="http://schemas.openxmlformats.org/officeDocument/2006/relationships/hyperlink" Target="https://www.youtube.com/watch?v=WF3DET7yH4Y&amp;t=28s" TargetMode="External"/><Relationship Id="rId1" Type="http://schemas.openxmlformats.org/officeDocument/2006/relationships/hyperlink" Target="https://www.youtube.com/@consultorescontablesmexico5398/videos" TargetMode="External"/><Relationship Id="rId6" Type="http://schemas.openxmlformats.org/officeDocument/2006/relationships/hyperlink" Target="https://www.youtube.com/watch?v=61ns6fkZZgU&amp;t=8552s" TargetMode="External"/><Relationship Id="rId11" Type="http://schemas.openxmlformats.org/officeDocument/2006/relationships/hyperlink" Target="https://www.youtube.com/watch?v=lSnBCKOMc28&amp;t=2152s" TargetMode="External"/><Relationship Id="rId5" Type="http://schemas.openxmlformats.org/officeDocument/2006/relationships/hyperlink" Target="https://www.youtube.com/watch?v=uyW7SLpdUaw&amp;t=10860s" TargetMode="External"/><Relationship Id="rId15" Type="http://schemas.openxmlformats.org/officeDocument/2006/relationships/hyperlink" Target="https://www.youtube.com/watch?v=R0mys-wbJfY&amp;t=1378s" TargetMode="External"/><Relationship Id="rId10" Type="http://schemas.openxmlformats.org/officeDocument/2006/relationships/hyperlink" Target="https://www.youtube.com/watch?v=X0CxTjg4bZI" TargetMode="External"/><Relationship Id="rId19" Type="http://schemas.openxmlformats.org/officeDocument/2006/relationships/hyperlink" Target="https://www.youtube.com/watch?v=kP7FsbpXHOk&amp;t=3s" TargetMode="External"/><Relationship Id="rId4" Type="http://schemas.openxmlformats.org/officeDocument/2006/relationships/hyperlink" Target="https://www.youtube.com/watch?v=wI_MsxubO5w&amp;t=9098s" TargetMode="External"/><Relationship Id="rId9" Type="http://schemas.openxmlformats.org/officeDocument/2006/relationships/hyperlink" Target="https://www.youtube.com/watch?v=rQhaO6_SV7s&amp;t=4392s" TargetMode="External"/><Relationship Id="rId14" Type="http://schemas.openxmlformats.org/officeDocument/2006/relationships/hyperlink" Target="https://www.youtube.com/watch?v=ddf4tAY_KKE&amp;t=1829s" TargetMode="External"/><Relationship Id="rId22"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youtube.com/watch?v=p4dXfU9Gm4k&amp;t=12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5"/>
  <sheetViews>
    <sheetView workbookViewId="0">
      <selection activeCell="C10" sqref="C10:N10"/>
    </sheetView>
  </sheetViews>
  <sheetFormatPr baseColWidth="10" defaultRowHeight="15" x14ac:dyDescent="0.25"/>
  <cols>
    <col min="1" max="1" width="40.42578125" customWidth="1"/>
    <col min="2" max="2" width="0.140625" customWidth="1"/>
    <col min="3" max="14" width="14.140625" customWidth="1"/>
    <col min="257" max="257" width="40.42578125" customWidth="1"/>
    <col min="258" max="258" width="0.140625" customWidth="1"/>
    <col min="259" max="270" width="14.140625" customWidth="1"/>
    <col min="513" max="513" width="40.42578125" customWidth="1"/>
    <col min="514" max="514" width="0.140625" customWidth="1"/>
    <col min="515" max="526" width="14.140625" customWidth="1"/>
    <col min="769" max="769" width="40.42578125" customWidth="1"/>
    <col min="770" max="770" width="0.140625" customWidth="1"/>
    <col min="771" max="782" width="14.140625" customWidth="1"/>
    <col min="1025" max="1025" width="40.42578125" customWidth="1"/>
    <col min="1026" max="1026" width="0.140625" customWidth="1"/>
    <col min="1027" max="1038" width="14.140625" customWidth="1"/>
    <col min="1281" max="1281" width="40.42578125" customWidth="1"/>
    <col min="1282" max="1282" width="0.140625" customWidth="1"/>
    <col min="1283" max="1294" width="14.140625" customWidth="1"/>
    <col min="1537" max="1537" width="40.42578125" customWidth="1"/>
    <col min="1538" max="1538" width="0.140625" customWidth="1"/>
    <col min="1539" max="1550" width="14.140625" customWidth="1"/>
    <col min="1793" max="1793" width="40.42578125" customWidth="1"/>
    <col min="1794" max="1794" width="0.140625" customWidth="1"/>
    <col min="1795" max="1806" width="14.140625" customWidth="1"/>
    <col min="2049" max="2049" width="40.42578125" customWidth="1"/>
    <col min="2050" max="2050" width="0.140625" customWidth="1"/>
    <col min="2051" max="2062" width="14.140625" customWidth="1"/>
    <col min="2305" max="2305" width="40.42578125" customWidth="1"/>
    <col min="2306" max="2306" width="0.140625" customWidth="1"/>
    <col min="2307" max="2318" width="14.140625" customWidth="1"/>
    <col min="2561" max="2561" width="40.42578125" customWidth="1"/>
    <col min="2562" max="2562" width="0.140625" customWidth="1"/>
    <col min="2563" max="2574" width="14.140625" customWidth="1"/>
    <col min="2817" max="2817" width="40.42578125" customWidth="1"/>
    <col min="2818" max="2818" width="0.140625" customWidth="1"/>
    <col min="2819" max="2830" width="14.140625" customWidth="1"/>
    <col min="3073" max="3073" width="40.42578125" customWidth="1"/>
    <col min="3074" max="3074" width="0.140625" customWidth="1"/>
    <col min="3075" max="3086" width="14.140625" customWidth="1"/>
    <col min="3329" max="3329" width="40.42578125" customWidth="1"/>
    <col min="3330" max="3330" width="0.140625" customWidth="1"/>
    <col min="3331" max="3342" width="14.140625" customWidth="1"/>
    <col min="3585" max="3585" width="40.42578125" customWidth="1"/>
    <col min="3586" max="3586" width="0.140625" customWidth="1"/>
    <col min="3587" max="3598" width="14.140625" customWidth="1"/>
    <col min="3841" max="3841" width="40.42578125" customWidth="1"/>
    <col min="3842" max="3842" width="0.140625" customWidth="1"/>
    <col min="3843" max="3854" width="14.140625" customWidth="1"/>
    <col min="4097" max="4097" width="40.42578125" customWidth="1"/>
    <col min="4098" max="4098" width="0.140625" customWidth="1"/>
    <col min="4099" max="4110" width="14.140625" customWidth="1"/>
    <col min="4353" max="4353" width="40.42578125" customWidth="1"/>
    <col min="4354" max="4354" width="0.140625" customWidth="1"/>
    <col min="4355" max="4366" width="14.140625" customWidth="1"/>
    <col min="4609" max="4609" width="40.42578125" customWidth="1"/>
    <col min="4610" max="4610" width="0.140625" customWidth="1"/>
    <col min="4611" max="4622" width="14.140625" customWidth="1"/>
    <col min="4865" max="4865" width="40.42578125" customWidth="1"/>
    <col min="4866" max="4866" width="0.140625" customWidth="1"/>
    <col min="4867" max="4878" width="14.140625" customWidth="1"/>
    <col min="5121" max="5121" width="40.42578125" customWidth="1"/>
    <col min="5122" max="5122" width="0.140625" customWidth="1"/>
    <col min="5123" max="5134" width="14.140625" customWidth="1"/>
    <col min="5377" max="5377" width="40.42578125" customWidth="1"/>
    <col min="5378" max="5378" width="0.140625" customWidth="1"/>
    <col min="5379" max="5390" width="14.140625" customWidth="1"/>
    <col min="5633" max="5633" width="40.42578125" customWidth="1"/>
    <col min="5634" max="5634" width="0.140625" customWidth="1"/>
    <col min="5635" max="5646" width="14.140625" customWidth="1"/>
    <col min="5889" max="5889" width="40.42578125" customWidth="1"/>
    <col min="5890" max="5890" width="0.140625" customWidth="1"/>
    <col min="5891" max="5902" width="14.140625" customWidth="1"/>
    <col min="6145" max="6145" width="40.42578125" customWidth="1"/>
    <col min="6146" max="6146" width="0.140625" customWidth="1"/>
    <col min="6147" max="6158" width="14.140625" customWidth="1"/>
    <col min="6401" max="6401" width="40.42578125" customWidth="1"/>
    <col min="6402" max="6402" width="0.140625" customWidth="1"/>
    <col min="6403" max="6414" width="14.140625" customWidth="1"/>
    <col min="6657" max="6657" width="40.42578125" customWidth="1"/>
    <col min="6658" max="6658" width="0.140625" customWidth="1"/>
    <col min="6659" max="6670" width="14.140625" customWidth="1"/>
    <col min="6913" max="6913" width="40.42578125" customWidth="1"/>
    <col min="6914" max="6914" width="0.140625" customWidth="1"/>
    <col min="6915" max="6926" width="14.140625" customWidth="1"/>
    <col min="7169" max="7169" width="40.42578125" customWidth="1"/>
    <col min="7170" max="7170" width="0.140625" customWidth="1"/>
    <col min="7171" max="7182" width="14.140625" customWidth="1"/>
    <col min="7425" max="7425" width="40.42578125" customWidth="1"/>
    <col min="7426" max="7426" width="0.140625" customWidth="1"/>
    <col min="7427" max="7438" width="14.140625" customWidth="1"/>
    <col min="7681" max="7681" width="40.42578125" customWidth="1"/>
    <col min="7682" max="7682" width="0.140625" customWidth="1"/>
    <col min="7683" max="7694" width="14.140625" customWidth="1"/>
    <col min="7937" max="7937" width="40.42578125" customWidth="1"/>
    <col min="7938" max="7938" width="0.140625" customWidth="1"/>
    <col min="7939" max="7950" width="14.140625" customWidth="1"/>
    <col min="8193" max="8193" width="40.42578125" customWidth="1"/>
    <col min="8194" max="8194" width="0.140625" customWidth="1"/>
    <col min="8195" max="8206" width="14.140625" customWidth="1"/>
    <col min="8449" max="8449" width="40.42578125" customWidth="1"/>
    <col min="8450" max="8450" width="0.140625" customWidth="1"/>
    <col min="8451" max="8462" width="14.140625" customWidth="1"/>
    <col min="8705" max="8705" width="40.42578125" customWidth="1"/>
    <col min="8706" max="8706" width="0.140625" customWidth="1"/>
    <col min="8707" max="8718" width="14.140625" customWidth="1"/>
    <col min="8961" max="8961" width="40.42578125" customWidth="1"/>
    <col min="8962" max="8962" width="0.140625" customWidth="1"/>
    <col min="8963" max="8974" width="14.140625" customWidth="1"/>
    <col min="9217" max="9217" width="40.42578125" customWidth="1"/>
    <col min="9218" max="9218" width="0.140625" customWidth="1"/>
    <col min="9219" max="9230" width="14.140625" customWidth="1"/>
    <col min="9473" max="9473" width="40.42578125" customWidth="1"/>
    <col min="9474" max="9474" width="0.140625" customWidth="1"/>
    <col min="9475" max="9486" width="14.140625" customWidth="1"/>
    <col min="9729" max="9729" width="40.42578125" customWidth="1"/>
    <col min="9730" max="9730" width="0.140625" customWidth="1"/>
    <col min="9731" max="9742" width="14.140625" customWidth="1"/>
    <col min="9985" max="9985" width="40.42578125" customWidth="1"/>
    <col min="9986" max="9986" width="0.140625" customWidth="1"/>
    <col min="9987" max="9998" width="14.140625" customWidth="1"/>
    <col min="10241" max="10241" width="40.42578125" customWidth="1"/>
    <col min="10242" max="10242" width="0.140625" customWidth="1"/>
    <col min="10243" max="10254" width="14.140625" customWidth="1"/>
    <col min="10497" max="10497" width="40.42578125" customWidth="1"/>
    <col min="10498" max="10498" width="0.140625" customWidth="1"/>
    <col min="10499" max="10510" width="14.140625" customWidth="1"/>
    <col min="10753" max="10753" width="40.42578125" customWidth="1"/>
    <col min="10754" max="10754" width="0.140625" customWidth="1"/>
    <col min="10755" max="10766" width="14.140625" customWidth="1"/>
    <col min="11009" max="11009" width="40.42578125" customWidth="1"/>
    <col min="11010" max="11010" width="0.140625" customWidth="1"/>
    <col min="11011" max="11022" width="14.140625" customWidth="1"/>
    <col min="11265" max="11265" width="40.42578125" customWidth="1"/>
    <col min="11266" max="11266" width="0.140625" customWidth="1"/>
    <col min="11267" max="11278" width="14.140625" customWidth="1"/>
    <col min="11521" max="11521" width="40.42578125" customWidth="1"/>
    <col min="11522" max="11522" width="0.140625" customWidth="1"/>
    <col min="11523" max="11534" width="14.140625" customWidth="1"/>
    <col min="11777" max="11777" width="40.42578125" customWidth="1"/>
    <col min="11778" max="11778" width="0.140625" customWidth="1"/>
    <col min="11779" max="11790" width="14.140625" customWidth="1"/>
    <col min="12033" max="12033" width="40.42578125" customWidth="1"/>
    <col min="12034" max="12034" width="0.140625" customWidth="1"/>
    <col min="12035" max="12046" width="14.140625" customWidth="1"/>
    <col min="12289" max="12289" width="40.42578125" customWidth="1"/>
    <col min="12290" max="12290" width="0.140625" customWidth="1"/>
    <col min="12291" max="12302" width="14.140625" customWidth="1"/>
    <col min="12545" max="12545" width="40.42578125" customWidth="1"/>
    <col min="12546" max="12546" width="0.140625" customWidth="1"/>
    <col min="12547" max="12558" width="14.140625" customWidth="1"/>
    <col min="12801" max="12801" width="40.42578125" customWidth="1"/>
    <col min="12802" max="12802" width="0.140625" customWidth="1"/>
    <col min="12803" max="12814" width="14.140625" customWidth="1"/>
    <col min="13057" max="13057" width="40.42578125" customWidth="1"/>
    <col min="13058" max="13058" width="0.140625" customWidth="1"/>
    <col min="13059" max="13070" width="14.140625" customWidth="1"/>
    <col min="13313" max="13313" width="40.42578125" customWidth="1"/>
    <col min="13314" max="13314" width="0.140625" customWidth="1"/>
    <col min="13315" max="13326" width="14.140625" customWidth="1"/>
    <col min="13569" max="13569" width="40.42578125" customWidth="1"/>
    <col min="13570" max="13570" width="0.140625" customWidth="1"/>
    <col min="13571" max="13582" width="14.140625" customWidth="1"/>
    <col min="13825" max="13825" width="40.42578125" customWidth="1"/>
    <col min="13826" max="13826" width="0.140625" customWidth="1"/>
    <col min="13827" max="13838" width="14.140625" customWidth="1"/>
    <col min="14081" max="14081" width="40.42578125" customWidth="1"/>
    <col min="14082" max="14082" width="0.140625" customWidth="1"/>
    <col min="14083" max="14094" width="14.140625" customWidth="1"/>
    <col min="14337" max="14337" width="40.42578125" customWidth="1"/>
    <col min="14338" max="14338" width="0.140625" customWidth="1"/>
    <col min="14339" max="14350" width="14.140625" customWidth="1"/>
    <col min="14593" max="14593" width="40.42578125" customWidth="1"/>
    <col min="14594" max="14594" width="0.140625" customWidth="1"/>
    <col min="14595" max="14606" width="14.140625" customWidth="1"/>
    <col min="14849" max="14849" width="40.42578125" customWidth="1"/>
    <col min="14850" max="14850" width="0.140625" customWidth="1"/>
    <col min="14851" max="14862" width="14.140625" customWidth="1"/>
    <col min="15105" max="15105" width="40.42578125" customWidth="1"/>
    <col min="15106" max="15106" width="0.140625" customWidth="1"/>
    <col min="15107" max="15118" width="14.140625" customWidth="1"/>
    <col min="15361" max="15361" width="40.42578125" customWidth="1"/>
    <col min="15362" max="15362" width="0.140625" customWidth="1"/>
    <col min="15363" max="15374" width="14.140625" customWidth="1"/>
    <col min="15617" max="15617" width="40.42578125" customWidth="1"/>
    <col min="15618" max="15618" width="0.140625" customWidth="1"/>
    <col min="15619" max="15630" width="14.140625" customWidth="1"/>
    <col min="15873" max="15873" width="40.42578125" customWidth="1"/>
    <col min="15874" max="15874" width="0.140625" customWidth="1"/>
    <col min="15875" max="15886" width="14.140625" customWidth="1"/>
    <col min="16129" max="16129" width="40.42578125" customWidth="1"/>
    <col min="16130" max="16130" width="0.140625" customWidth="1"/>
    <col min="16131" max="16142" width="14.140625" customWidth="1"/>
  </cols>
  <sheetData>
    <row r="2" spans="1:14" x14ac:dyDescent="0.25">
      <c r="B2" s="3"/>
      <c r="C2" s="3"/>
      <c r="D2" s="3"/>
      <c r="E2" s="3"/>
      <c r="F2" s="402" t="s">
        <v>0</v>
      </c>
      <c r="G2" s="402"/>
      <c r="H2" s="46">
        <v>2020</v>
      </c>
      <c r="I2" s="3"/>
      <c r="J2" s="3"/>
      <c r="K2" s="3"/>
      <c r="L2" s="3"/>
      <c r="M2" s="3"/>
      <c r="N2" s="3"/>
    </row>
    <row r="3" spans="1:14" x14ac:dyDescent="0.25">
      <c r="A3" s="403"/>
      <c r="B3" s="403"/>
      <c r="C3" s="403"/>
      <c r="D3" s="403"/>
      <c r="E3" s="403"/>
      <c r="F3" s="403"/>
      <c r="G3" s="403"/>
      <c r="H3" s="403"/>
      <c r="I3" s="403"/>
      <c r="J3" s="403"/>
      <c r="K3" s="403"/>
      <c r="L3" s="403"/>
      <c r="M3" s="403"/>
      <c r="N3" s="403"/>
    </row>
    <row r="4" spans="1:14" x14ac:dyDescent="0.25">
      <c r="A4" s="402" t="s">
        <v>1</v>
      </c>
      <c r="B4" s="402"/>
      <c r="C4" s="402"/>
      <c r="D4" s="402"/>
      <c r="E4" s="402"/>
      <c r="F4" s="402"/>
      <c r="G4" s="402"/>
      <c r="H4" s="402"/>
      <c r="I4" s="402"/>
      <c r="J4" s="402"/>
      <c r="K4" s="402"/>
      <c r="L4" s="402"/>
      <c r="M4" s="402"/>
      <c r="N4" s="402"/>
    </row>
    <row r="5" spans="1:14" x14ac:dyDescent="0.25">
      <c r="N5" s="47">
        <v>401</v>
      </c>
    </row>
    <row r="6" spans="1:14" x14ac:dyDescent="0.25">
      <c r="A6" s="404" t="s">
        <v>2</v>
      </c>
      <c r="B6" s="404"/>
      <c r="C6" s="404"/>
      <c r="D6" s="404"/>
      <c r="E6" s="404"/>
      <c r="F6" s="404"/>
      <c r="G6" s="404"/>
      <c r="H6" s="404"/>
      <c r="I6" s="404"/>
      <c r="J6" s="404"/>
      <c r="K6" s="404"/>
      <c r="L6" s="404"/>
      <c r="M6" s="404"/>
      <c r="N6" s="404"/>
    </row>
    <row r="7" spans="1:14" x14ac:dyDescent="0.25">
      <c r="C7" s="27"/>
      <c r="D7" s="27"/>
      <c r="E7" s="27"/>
      <c r="F7" s="27"/>
      <c r="G7" s="27"/>
      <c r="H7" s="27"/>
      <c r="I7" s="27"/>
      <c r="J7" s="27"/>
      <c r="K7" s="27"/>
      <c r="L7" s="27"/>
      <c r="M7" s="27"/>
      <c r="N7" s="27"/>
    </row>
    <row r="8" spans="1:14" x14ac:dyDescent="0.25">
      <c r="A8" s="3"/>
      <c r="B8" s="3"/>
      <c r="C8" s="4" t="s">
        <v>3</v>
      </c>
      <c r="D8" s="4" t="s">
        <v>4</v>
      </c>
      <c r="E8" s="4" t="s">
        <v>5</v>
      </c>
      <c r="F8" s="4" t="s">
        <v>6</v>
      </c>
      <c r="G8" s="4" t="s">
        <v>7</v>
      </c>
      <c r="H8" s="4" t="s">
        <v>8</v>
      </c>
      <c r="I8" s="4" t="s">
        <v>9</v>
      </c>
      <c r="J8" s="4" t="s">
        <v>10</v>
      </c>
      <c r="K8" s="4" t="s">
        <v>11</v>
      </c>
      <c r="L8" s="4" t="s">
        <v>12</v>
      </c>
      <c r="M8" s="4" t="s">
        <v>13</v>
      </c>
      <c r="N8" s="4" t="s">
        <v>14</v>
      </c>
    </row>
    <row r="9" spans="1:14" x14ac:dyDescent="0.25">
      <c r="C9" s="1">
        <v>1</v>
      </c>
      <c r="D9" s="1">
        <v>2</v>
      </c>
      <c r="E9" s="1">
        <v>3</v>
      </c>
      <c r="F9" s="1">
        <v>4</v>
      </c>
      <c r="G9" s="1">
        <v>5</v>
      </c>
      <c r="H9" s="1">
        <v>6</v>
      </c>
      <c r="I9" s="1">
        <v>7</v>
      </c>
      <c r="J9" s="1">
        <v>8</v>
      </c>
      <c r="K9" s="1">
        <v>9</v>
      </c>
      <c r="L9" s="1">
        <v>10</v>
      </c>
      <c r="M9" s="1">
        <v>11</v>
      </c>
      <c r="N9" s="1">
        <v>12</v>
      </c>
    </row>
    <row r="10" spans="1:14" ht="15.75" thickBot="1" x14ac:dyDescent="0.3">
      <c r="A10" t="s">
        <v>55</v>
      </c>
      <c r="B10" s="3"/>
      <c r="C10" s="66">
        <v>0</v>
      </c>
      <c r="D10" s="66">
        <v>0</v>
      </c>
      <c r="E10" s="66">
        <v>0</v>
      </c>
      <c r="F10" s="66">
        <v>0</v>
      </c>
      <c r="G10" s="66">
        <v>0</v>
      </c>
      <c r="H10" s="66">
        <v>0</v>
      </c>
      <c r="I10" s="66">
        <v>0</v>
      </c>
      <c r="J10" s="66">
        <v>0</v>
      </c>
      <c r="K10" s="66">
        <v>0</v>
      </c>
      <c r="L10" s="66">
        <v>0</v>
      </c>
      <c r="M10" s="66">
        <v>0</v>
      </c>
      <c r="N10" s="66">
        <v>0</v>
      </c>
    </row>
    <row r="11" spans="1:14" ht="15.75" thickBot="1" x14ac:dyDescent="0.3">
      <c r="A11" s="3" t="s">
        <v>17</v>
      </c>
      <c r="C11" s="49">
        <f>C10</f>
        <v>0</v>
      </c>
      <c r="D11" s="49">
        <f t="shared" ref="D11:N11" si="0">D10+C11</f>
        <v>0</v>
      </c>
      <c r="E11" s="49">
        <f t="shared" si="0"/>
        <v>0</v>
      </c>
      <c r="F11" s="49">
        <f t="shared" si="0"/>
        <v>0</v>
      </c>
      <c r="G11" s="49">
        <f t="shared" si="0"/>
        <v>0</v>
      </c>
      <c r="H11" s="49">
        <f t="shared" si="0"/>
        <v>0</v>
      </c>
      <c r="I11" s="49">
        <f t="shared" si="0"/>
        <v>0</v>
      </c>
      <c r="J11" s="49">
        <f t="shared" si="0"/>
        <v>0</v>
      </c>
      <c r="K11" s="49">
        <f t="shared" si="0"/>
        <v>0</v>
      </c>
      <c r="L11" s="49">
        <f t="shared" si="0"/>
        <v>0</v>
      </c>
      <c r="M11" s="49">
        <f t="shared" si="0"/>
        <v>0</v>
      </c>
      <c r="N11" s="49">
        <f t="shared" si="0"/>
        <v>0</v>
      </c>
    </row>
    <row r="12" spans="1:14" x14ac:dyDescent="0.25">
      <c r="K12" s="9"/>
      <c r="L12" s="9"/>
    </row>
    <row r="13" spans="1:14" x14ac:dyDescent="0.25">
      <c r="A13" t="s">
        <v>56</v>
      </c>
      <c r="C13" s="50">
        <v>0</v>
      </c>
      <c r="D13" s="50">
        <f t="shared" ref="D13:N13" si="1">C13</f>
        <v>0</v>
      </c>
      <c r="E13" s="50">
        <f t="shared" si="1"/>
        <v>0</v>
      </c>
      <c r="F13" s="50">
        <f t="shared" si="1"/>
        <v>0</v>
      </c>
      <c r="G13" s="50">
        <f t="shared" si="1"/>
        <v>0</v>
      </c>
      <c r="H13" s="50">
        <f t="shared" si="1"/>
        <v>0</v>
      </c>
      <c r="I13" s="50">
        <f t="shared" si="1"/>
        <v>0</v>
      </c>
      <c r="J13" s="50">
        <f t="shared" si="1"/>
        <v>0</v>
      </c>
      <c r="K13" s="50">
        <f t="shared" si="1"/>
        <v>0</v>
      </c>
      <c r="L13" s="50">
        <f t="shared" si="1"/>
        <v>0</v>
      </c>
      <c r="M13" s="50">
        <f t="shared" si="1"/>
        <v>0</v>
      </c>
      <c r="N13" s="50">
        <f t="shared" si="1"/>
        <v>0</v>
      </c>
    </row>
    <row r="14" spans="1:14" x14ac:dyDescent="0.25">
      <c r="B14" s="3"/>
    </row>
    <row r="15" spans="1:14" ht="15.75" thickBot="1" x14ac:dyDescent="0.3">
      <c r="A15" s="3" t="s">
        <v>57</v>
      </c>
      <c r="C15" s="51">
        <f t="shared" ref="C15:N15" si="2">C11*C13</f>
        <v>0</v>
      </c>
      <c r="D15" s="51">
        <f t="shared" si="2"/>
        <v>0</v>
      </c>
      <c r="E15" s="51">
        <f t="shared" si="2"/>
        <v>0</v>
      </c>
      <c r="F15" s="51">
        <f t="shared" si="2"/>
        <v>0</v>
      </c>
      <c r="G15" s="51">
        <f t="shared" si="2"/>
        <v>0</v>
      </c>
      <c r="H15" s="51">
        <f t="shared" si="2"/>
        <v>0</v>
      </c>
      <c r="I15" s="51">
        <f t="shared" si="2"/>
        <v>0</v>
      </c>
      <c r="J15" s="51">
        <f t="shared" si="2"/>
        <v>0</v>
      </c>
      <c r="K15" s="51">
        <f t="shared" si="2"/>
        <v>0</v>
      </c>
      <c r="L15" s="51">
        <f t="shared" si="2"/>
        <v>0</v>
      </c>
      <c r="M15" s="51">
        <f t="shared" si="2"/>
        <v>0</v>
      </c>
      <c r="N15" s="51">
        <f t="shared" si="2"/>
        <v>0</v>
      </c>
    </row>
    <row r="16" spans="1:14" x14ac:dyDescent="0.25">
      <c r="C16" s="9"/>
      <c r="D16" s="9"/>
      <c r="E16" s="9"/>
      <c r="F16" s="9"/>
      <c r="G16" s="9"/>
      <c r="H16" s="9"/>
      <c r="I16" s="9"/>
      <c r="J16" s="9"/>
      <c r="K16" s="9"/>
      <c r="L16" s="9"/>
      <c r="M16" s="9"/>
      <c r="N16" s="9"/>
    </row>
    <row r="17" spans="1:14" x14ac:dyDescent="0.25">
      <c r="A17" s="52" t="s">
        <v>58</v>
      </c>
      <c r="C17" s="48">
        <v>0</v>
      </c>
      <c r="D17" s="48">
        <f t="shared" ref="D17:N18" si="3">C17</f>
        <v>0</v>
      </c>
      <c r="E17" s="48">
        <f t="shared" si="3"/>
        <v>0</v>
      </c>
      <c r="F17" s="48">
        <f t="shared" si="3"/>
        <v>0</v>
      </c>
      <c r="G17" s="48">
        <f t="shared" si="3"/>
        <v>0</v>
      </c>
      <c r="H17" s="48">
        <f t="shared" si="3"/>
        <v>0</v>
      </c>
      <c r="I17" s="48">
        <f t="shared" si="3"/>
        <v>0</v>
      </c>
      <c r="J17" s="48">
        <f t="shared" si="3"/>
        <v>0</v>
      </c>
      <c r="K17" s="48">
        <f t="shared" si="3"/>
        <v>0</v>
      </c>
      <c r="L17" s="48">
        <f t="shared" si="3"/>
        <v>0</v>
      </c>
      <c r="M17" s="48">
        <f t="shared" si="3"/>
        <v>0</v>
      </c>
      <c r="N17" s="48">
        <f t="shared" si="3"/>
        <v>0</v>
      </c>
    </row>
    <row r="18" spans="1:14" x14ac:dyDescent="0.25">
      <c r="A18" s="52" t="s">
        <v>59</v>
      </c>
      <c r="C18" s="53">
        <v>0</v>
      </c>
      <c r="D18" s="48">
        <f t="shared" si="3"/>
        <v>0</v>
      </c>
      <c r="E18" s="48">
        <f t="shared" si="3"/>
        <v>0</v>
      </c>
      <c r="F18" s="48">
        <f t="shared" si="3"/>
        <v>0</v>
      </c>
      <c r="G18" s="48">
        <f t="shared" si="3"/>
        <v>0</v>
      </c>
      <c r="H18" s="48">
        <f t="shared" si="3"/>
        <v>0</v>
      </c>
      <c r="I18" s="48">
        <f t="shared" si="3"/>
        <v>0</v>
      </c>
      <c r="J18" s="48">
        <f t="shared" si="3"/>
        <v>0</v>
      </c>
      <c r="K18" s="48">
        <f t="shared" si="3"/>
        <v>0</v>
      </c>
      <c r="L18" s="48">
        <f t="shared" si="3"/>
        <v>0</v>
      </c>
      <c r="M18" s="48">
        <f t="shared" si="3"/>
        <v>0</v>
      </c>
      <c r="N18" s="48">
        <f t="shared" si="3"/>
        <v>0</v>
      </c>
    </row>
    <row r="19" spans="1:14" x14ac:dyDescent="0.25">
      <c r="B19" s="3"/>
    </row>
    <row r="20" spans="1:14" x14ac:dyDescent="0.25">
      <c r="A20" s="52" t="s">
        <v>64</v>
      </c>
      <c r="C20" s="54">
        <v>0.3</v>
      </c>
      <c r="D20" s="54">
        <v>0.3</v>
      </c>
      <c r="E20" s="54">
        <v>0.3</v>
      </c>
      <c r="F20" s="54">
        <v>0.3</v>
      </c>
      <c r="G20" s="54">
        <v>0.3</v>
      </c>
      <c r="H20" s="54">
        <v>0.3</v>
      </c>
      <c r="I20" s="54">
        <v>0.3</v>
      </c>
      <c r="J20" s="54">
        <v>0.3</v>
      </c>
      <c r="K20" s="54">
        <v>0.3</v>
      </c>
      <c r="L20" s="54">
        <v>0.3</v>
      </c>
      <c r="M20" s="54">
        <v>0.3</v>
      </c>
      <c r="N20" s="54">
        <v>0.3</v>
      </c>
    </row>
    <row r="22" spans="1:14" ht="15.75" thickBot="1" x14ac:dyDescent="0.3">
      <c r="A22" s="3" t="s">
        <v>60</v>
      </c>
      <c r="C22" s="55">
        <f t="shared" ref="C22:N22" si="4">IF((C15-C17-C18&lt;0),0,(C15-C17-C18)*C20)</f>
        <v>0</v>
      </c>
      <c r="D22" s="55">
        <f t="shared" si="4"/>
        <v>0</v>
      </c>
      <c r="E22" s="55">
        <f t="shared" si="4"/>
        <v>0</v>
      </c>
      <c r="F22" s="55">
        <f t="shared" si="4"/>
        <v>0</v>
      </c>
      <c r="G22" s="55">
        <f t="shared" si="4"/>
        <v>0</v>
      </c>
      <c r="H22" s="55">
        <f t="shared" si="4"/>
        <v>0</v>
      </c>
      <c r="I22" s="55">
        <f t="shared" si="4"/>
        <v>0</v>
      </c>
      <c r="J22" s="55">
        <f t="shared" si="4"/>
        <v>0</v>
      </c>
      <c r="K22" s="55">
        <f t="shared" si="4"/>
        <v>0</v>
      </c>
      <c r="L22" s="55">
        <f t="shared" si="4"/>
        <v>0</v>
      </c>
      <c r="M22" s="55">
        <f t="shared" si="4"/>
        <v>0</v>
      </c>
      <c r="N22" s="55">
        <f t="shared" si="4"/>
        <v>0</v>
      </c>
    </row>
    <row r="23" spans="1:14" x14ac:dyDescent="0.25">
      <c r="C23" s="9"/>
      <c r="D23" s="9"/>
      <c r="E23" s="9"/>
      <c r="F23" s="9"/>
      <c r="G23" s="9"/>
      <c r="H23" s="9"/>
      <c r="I23" s="9"/>
      <c r="J23" s="9"/>
      <c r="K23" s="9"/>
      <c r="L23" s="9"/>
      <c r="M23" s="9"/>
      <c r="N23" s="9"/>
    </row>
    <row r="24" spans="1:14" x14ac:dyDescent="0.25">
      <c r="A24" s="52" t="s">
        <v>61</v>
      </c>
      <c r="C24" s="7">
        <v>0</v>
      </c>
      <c r="D24" s="7">
        <f t="shared" ref="D24:N24" si="5">IF(C28&gt;0,C24+C25+C26+C28,C24+C25+C26)</f>
        <v>0</v>
      </c>
      <c r="E24" s="7">
        <f t="shared" si="5"/>
        <v>0</v>
      </c>
      <c r="F24" s="7">
        <f t="shared" si="5"/>
        <v>0</v>
      </c>
      <c r="G24" s="7">
        <f t="shared" si="5"/>
        <v>0</v>
      </c>
      <c r="H24" s="7">
        <f t="shared" si="5"/>
        <v>0</v>
      </c>
      <c r="I24" s="7">
        <f t="shared" si="5"/>
        <v>0</v>
      </c>
      <c r="J24" s="7">
        <f t="shared" si="5"/>
        <v>0</v>
      </c>
      <c r="K24" s="7">
        <f t="shared" si="5"/>
        <v>0</v>
      </c>
      <c r="L24" s="7">
        <f t="shared" si="5"/>
        <v>0</v>
      </c>
      <c r="M24" s="7">
        <f t="shared" si="5"/>
        <v>0</v>
      </c>
      <c r="N24" s="7">
        <f t="shared" si="5"/>
        <v>0</v>
      </c>
    </row>
    <row r="25" spans="1:14" x14ac:dyDescent="0.25">
      <c r="A25" s="52" t="s">
        <v>62</v>
      </c>
      <c r="C25" s="7">
        <v>0</v>
      </c>
      <c r="D25" s="7">
        <v>0</v>
      </c>
      <c r="E25" s="7">
        <v>0</v>
      </c>
      <c r="F25" s="7">
        <v>0</v>
      </c>
      <c r="G25" s="7">
        <v>0</v>
      </c>
      <c r="H25" s="7">
        <v>0</v>
      </c>
      <c r="I25" s="7">
        <v>0</v>
      </c>
      <c r="J25" s="7">
        <v>0</v>
      </c>
      <c r="K25" s="7">
        <v>0</v>
      </c>
      <c r="L25" s="7">
        <v>0</v>
      </c>
      <c r="M25" s="7">
        <v>0</v>
      </c>
      <c r="N25" s="7">
        <v>0</v>
      </c>
    </row>
    <row r="26" spans="1:14" x14ac:dyDescent="0.25">
      <c r="A26" s="52" t="s">
        <v>63</v>
      </c>
      <c r="C26" s="7">
        <v>0</v>
      </c>
      <c r="D26" s="7">
        <v>0</v>
      </c>
      <c r="E26" s="7">
        <v>0</v>
      </c>
      <c r="F26" s="7">
        <v>0</v>
      </c>
      <c r="G26" s="7">
        <v>0</v>
      </c>
      <c r="H26" s="7">
        <v>0</v>
      </c>
      <c r="I26" s="7">
        <v>0</v>
      </c>
      <c r="J26" s="7">
        <v>0</v>
      </c>
      <c r="K26" s="7">
        <v>0</v>
      </c>
      <c r="L26" s="7">
        <v>0</v>
      </c>
      <c r="M26" s="7">
        <v>0</v>
      </c>
      <c r="N26" s="7">
        <v>0</v>
      </c>
    </row>
    <row r="27" spans="1:14" x14ac:dyDescent="0.25">
      <c r="B27" s="3"/>
      <c r="C27" s="7"/>
      <c r="D27" s="7"/>
      <c r="E27" s="7"/>
      <c r="F27" s="7"/>
      <c r="G27" s="7"/>
      <c r="H27" s="7"/>
      <c r="I27" s="7"/>
      <c r="J27" s="7"/>
      <c r="K27" s="7"/>
      <c r="L27" s="7"/>
      <c r="M27" s="7"/>
      <c r="N27" s="7"/>
    </row>
    <row r="28" spans="1:14" ht="15.75" thickBot="1" x14ac:dyDescent="0.3">
      <c r="A28" s="3" t="s">
        <v>34</v>
      </c>
      <c r="B28" s="3">
        <v>1</v>
      </c>
      <c r="C28" s="56">
        <f t="shared" ref="C28:N28" si="6">IF((C22-C24-C25-C26)&gt;0,C22-C24-C25-C26,0)</f>
        <v>0</v>
      </c>
      <c r="D28" s="56">
        <f t="shared" si="6"/>
        <v>0</v>
      </c>
      <c r="E28" s="56">
        <f t="shared" si="6"/>
        <v>0</v>
      </c>
      <c r="F28" s="56">
        <f t="shared" si="6"/>
        <v>0</v>
      </c>
      <c r="G28" s="56">
        <f t="shared" si="6"/>
        <v>0</v>
      </c>
      <c r="H28" s="56">
        <f t="shared" si="6"/>
        <v>0</v>
      </c>
      <c r="I28" s="56">
        <f t="shared" si="6"/>
        <v>0</v>
      </c>
      <c r="J28" s="56">
        <f t="shared" si="6"/>
        <v>0</v>
      </c>
      <c r="K28" s="56">
        <f t="shared" si="6"/>
        <v>0</v>
      </c>
      <c r="L28" s="56">
        <f t="shared" si="6"/>
        <v>0</v>
      </c>
      <c r="M28" s="56">
        <f t="shared" si="6"/>
        <v>0</v>
      </c>
      <c r="N28" s="56">
        <f t="shared" si="6"/>
        <v>0</v>
      </c>
    </row>
    <row r="29" spans="1:14" ht="15.75" thickTop="1" x14ac:dyDescent="0.25">
      <c r="B29" s="3">
        <v>2</v>
      </c>
      <c r="C29" s="9"/>
      <c r="D29" s="9"/>
      <c r="E29" s="9"/>
      <c r="F29" s="9"/>
      <c r="G29" s="9"/>
      <c r="H29" s="9"/>
      <c r="I29" s="9"/>
      <c r="J29" s="9"/>
      <c r="K29" s="9"/>
      <c r="L29" s="9"/>
      <c r="M29" s="9"/>
      <c r="N29" s="9"/>
    </row>
    <row r="30" spans="1:14" x14ac:dyDescent="0.25">
      <c r="B30" s="3">
        <v>3</v>
      </c>
      <c r="C30" s="27"/>
      <c r="D30" s="27"/>
      <c r="E30" s="27"/>
      <c r="F30" s="27"/>
      <c r="G30" s="27"/>
      <c r="H30" s="27"/>
      <c r="I30" s="27"/>
      <c r="J30" s="27"/>
      <c r="K30" s="27"/>
      <c r="L30" s="27"/>
      <c r="M30" s="27"/>
      <c r="N30" s="27"/>
    </row>
    <row r="31" spans="1:14" x14ac:dyDescent="0.25">
      <c r="B31" s="3">
        <v>4</v>
      </c>
    </row>
    <row r="32" spans="1:14" x14ac:dyDescent="0.25">
      <c r="C32" s="28" t="s">
        <v>3</v>
      </c>
      <c r="D32" s="28" t="s">
        <v>4</v>
      </c>
      <c r="E32" s="28" t="s">
        <v>5</v>
      </c>
      <c r="F32" s="28" t="s">
        <v>6</v>
      </c>
      <c r="G32" s="28" t="s">
        <v>7</v>
      </c>
      <c r="H32" s="28" t="s">
        <v>8</v>
      </c>
      <c r="I32" s="28" t="s">
        <v>9</v>
      </c>
      <c r="J32" s="28" t="s">
        <v>10</v>
      </c>
      <c r="K32" s="28" t="s">
        <v>11</v>
      </c>
      <c r="L32" s="28" t="s">
        <v>12</v>
      </c>
      <c r="M32" s="28" t="s">
        <v>13</v>
      </c>
      <c r="N32" s="28" t="s">
        <v>14</v>
      </c>
    </row>
    <row r="33" spans="1:14" x14ac:dyDescent="0.25">
      <c r="B33" s="3"/>
    </row>
    <row r="34" spans="1:14" x14ac:dyDescent="0.25">
      <c r="B34" s="3"/>
      <c r="C34" s="9"/>
      <c r="D34" s="9"/>
      <c r="E34" s="9"/>
      <c r="F34" s="9"/>
      <c r="G34" s="9"/>
      <c r="H34" s="9"/>
      <c r="I34" s="9"/>
      <c r="J34" s="9"/>
      <c r="K34" s="9"/>
      <c r="L34" s="9"/>
      <c r="M34" s="9"/>
      <c r="N34" s="9"/>
    </row>
    <row r="35" spans="1:14" x14ac:dyDescent="0.25">
      <c r="A35" s="3"/>
      <c r="B35" s="3"/>
      <c r="C35" s="57"/>
    </row>
  </sheetData>
  <mergeCells count="4">
    <mergeCell ref="F2:G2"/>
    <mergeCell ref="A3:N3"/>
    <mergeCell ref="A4:N4"/>
    <mergeCell ref="A6:N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69"/>
  <sheetViews>
    <sheetView showGridLines="0" topLeftCell="C16" workbookViewId="0">
      <selection activeCell="E20" sqref="E20"/>
    </sheetView>
  </sheetViews>
  <sheetFormatPr baseColWidth="10" defaultRowHeight="15" x14ac:dyDescent="0.25"/>
  <cols>
    <col min="1" max="1" width="11.42578125" style="126"/>
    <col min="2" max="2" width="11.5703125" style="126" customWidth="1"/>
    <col min="3" max="3" width="12.85546875" style="126" bestFit="1" customWidth="1"/>
    <col min="4" max="4" width="35.42578125" style="126" bestFit="1" customWidth="1"/>
    <col min="5" max="5" width="31" style="126" bestFit="1" customWidth="1"/>
    <col min="6" max="6" width="11.42578125" style="126"/>
    <col min="7" max="7" width="3" style="126" customWidth="1"/>
    <col min="8" max="8" width="1.28515625" style="126" customWidth="1"/>
    <col min="9" max="9" width="16.5703125" style="126" customWidth="1"/>
    <col min="10" max="10" width="12.5703125" style="126" bestFit="1" customWidth="1"/>
    <col min="11" max="11" width="41.140625" style="126" bestFit="1" customWidth="1"/>
    <col min="12" max="12" width="17.7109375" style="126" customWidth="1"/>
    <col min="13" max="13" width="12.5703125" style="126" bestFit="1" customWidth="1"/>
    <col min="14" max="16384" width="11.42578125" style="126"/>
  </cols>
  <sheetData>
    <row r="6" spans="1:13" x14ac:dyDescent="0.25">
      <c r="I6" s="410" t="s">
        <v>1368</v>
      </c>
      <c r="J6" s="410"/>
      <c r="K6" s="410"/>
      <c r="L6" s="410"/>
    </row>
    <row r="7" spans="1:13" x14ac:dyDescent="0.25">
      <c r="I7" s="316" t="s">
        <v>1369</v>
      </c>
      <c r="J7" s="317"/>
      <c r="K7" s="317"/>
      <c r="L7" s="318">
        <v>25350</v>
      </c>
    </row>
    <row r="8" spans="1:13" x14ac:dyDescent="0.25">
      <c r="I8" s="319" t="s">
        <v>1370</v>
      </c>
      <c r="J8" s="320"/>
      <c r="K8" s="320"/>
      <c r="L8" s="321">
        <v>25350</v>
      </c>
    </row>
    <row r="9" spans="1:13" x14ac:dyDescent="0.25">
      <c r="A9" s="411" t="s">
        <v>1371</v>
      </c>
      <c r="B9" s="411"/>
      <c r="C9" s="411"/>
      <c r="D9" s="411"/>
      <c r="E9" s="284"/>
      <c r="I9" s="322" t="s">
        <v>1372</v>
      </c>
      <c r="J9" s="323"/>
      <c r="K9" s="323">
        <v>24</v>
      </c>
      <c r="L9" s="324">
        <f>[2]EMITIDO!AB44</f>
        <v>229184.53999999998</v>
      </c>
      <c r="M9" s="16"/>
    </row>
    <row r="10" spans="1:13" x14ac:dyDescent="0.25">
      <c r="A10" s="411"/>
      <c r="B10" s="411"/>
      <c r="C10" s="411"/>
      <c r="D10" s="411"/>
      <c r="E10" s="284"/>
      <c r="I10" s="325" t="s">
        <v>1373</v>
      </c>
      <c r="J10" s="326"/>
      <c r="K10" s="326">
        <v>22</v>
      </c>
      <c r="L10" s="327">
        <f>[2]RECIBIDO!AB18</f>
        <v>0</v>
      </c>
      <c r="M10" s="16"/>
    </row>
    <row r="11" spans="1:13" x14ac:dyDescent="0.25">
      <c r="B11" s="407" t="s">
        <v>1396</v>
      </c>
      <c r="C11" s="407"/>
      <c r="D11" s="407"/>
      <c r="E11" s="407"/>
      <c r="I11" s="328" t="s">
        <v>1374</v>
      </c>
      <c r="J11" s="329"/>
      <c r="K11" s="329"/>
      <c r="L11" s="330">
        <f>L7+L9-L10</f>
        <v>254534.53999999998</v>
      </c>
    </row>
    <row r="12" spans="1:13" x14ac:dyDescent="0.25">
      <c r="B12" s="407"/>
      <c r="C12" s="407"/>
      <c r="D12" s="407"/>
      <c r="E12" s="407"/>
      <c r="I12" s="328" t="s">
        <v>1370</v>
      </c>
      <c r="J12" s="329"/>
      <c r="K12" s="329"/>
      <c r="L12" s="330">
        <f>L11</f>
        <v>254534.53999999998</v>
      </c>
    </row>
    <row r="13" spans="1:13" ht="15.75" x14ac:dyDescent="0.25">
      <c r="B13" s="407"/>
      <c r="C13" s="407"/>
      <c r="D13" s="407"/>
      <c r="E13" s="407"/>
      <c r="I13" s="331" t="s">
        <v>1375</v>
      </c>
      <c r="J13" s="332"/>
      <c r="K13" s="332"/>
      <c r="L13" s="333">
        <f>L7+L12</f>
        <v>279884.53999999998</v>
      </c>
    </row>
    <row r="14" spans="1:13" x14ac:dyDescent="0.25">
      <c r="B14" s="407"/>
      <c r="C14" s="407"/>
      <c r="D14" s="407"/>
      <c r="E14" s="407"/>
    </row>
    <row r="16" spans="1:13" x14ac:dyDescent="0.25">
      <c r="I16" s="283" t="s">
        <v>1376</v>
      </c>
      <c r="J16" s="283" t="s">
        <v>1377</v>
      </c>
      <c r="K16" s="412" t="s">
        <v>1378</v>
      </c>
      <c r="L16" s="412"/>
    </row>
    <row r="17" spans="2:13" s="282" customFormat="1" x14ac:dyDescent="0.25">
      <c r="B17" s="334" t="s">
        <v>1379</v>
      </c>
      <c r="C17" s="334" t="s">
        <v>1380</v>
      </c>
      <c r="D17" s="334" t="s">
        <v>1381</v>
      </c>
      <c r="E17" s="334" t="s">
        <v>1382</v>
      </c>
      <c r="F17" s="334" t="s">
        <v>1383</v>
      </c>
      <c r="I17" s="339" t="s">
        <v>1384</v>
      </c>
      <c r="J17" s="339" t="s">
        <v>1385</v>
      </c>
      <c r="K17" s="334" t="s">
        <v>159</v>
      </c>
      <c r="L17" s="413"/>
      <c r="M17" s="414"/>
    </row>
    <row r="18" spans="2:13" x14ac:dyDescent="0.25">
      <c r="B18" s="335">
        <v>44562</v>
      </c>
      <c r="D18" s="126" t="s">
        <v>1386</v>
      </c>
      <c r="E18" s="126" t="s">
        <v>1397</v>
      </c>
      <c r="F18" s="126">
        <v>8895478</v>
      </c>
      <c r="I18" s="116">
        <v>0</v>
      </c>
      <c r="J18" s="340">
        <v>2550.0416666666665</v>
      </c>
      <c r="K18" s="16" t="s">
        <v>995</v>
      </c>
      <c r="L18" s="89"/>
      <c r="M18" s="89"/>
    </row>
    <row r="19" spans="2:13" x14ac:dyDescent="0.25">
      <c r="B19" s="335">
        <v>44563</v>
      </c>
      <c r="D19" s="126" t="s">
        <v>1387</v>
      </c>
      <c r="E19" s="126" t="s">
        <v>1397</v>
      </c>
      <c r="F19" s="126">
        <v>322554</v>
      </c>
      <c r="I19" s="116">
        <v>0</v>
      </c>
      <c r="J19" s="309">
        <v>522</v>
      </c>
      <c r="K19" s="16" t="s">
        <v>1012</v>
      </c>
    </row>
    <row r="20" spans="2:13" x14ac:dyDescent="0.25">
      <c r="B20" s="335">
        <v>44564</v>
      </c>
      <c r="D20" s="126" t="s">
        <v>1388</v>
      </c>
      <c r="E20" s="126" t="s">
        <v>1397</v>
      </c>
      <c r="F20" s="126">
        <v>57785</v>
      </c>
      <c r="I20" s="116">
        <v>0</v>
      </c>
      <c r="J20" s="309">
        <v>872.32</v>
      </c>
      <c r="K20" s="16" t="s">
        <v>1017</v>
      </c>
    </row>
    <row r="21" spans="2:13" x14ac:dyDescent="0.25">
      <c r="B21" s="335">
        <v>44565</v>
      </c>
      <c r="D21" s="126" t="s">
        <v>1386</v>
      </c>
      <c r="E21" s="126" t="s">
        <v>1397</v>
      </c>
      <c r="F21" s="126">
        <v>85478</v>
      </c>
      <c r="I21" s="116">
        <v>0</v>
      </c>
      <c r="J21" s="309">
        <v>477.92</v>
      </c>
      <c r="K21" s="16" t="s">
        <v>1020</v>
      </c>
    </row>
    <row r="22" spans="2:13" x14ac:dyDescent="0.25">
      <c r="B22" s="335">
        <v>44566</v>
      </c>
      <c r="D22" s="126" t="s">
        <v>1391</v>
      </c>
      <c r="E22" s="126" t="s">
        <v>1397</v>
      </c>
      <c r="F22" s="126">
        <v>54785</v>
      </c>
      <c r="I22" s="116">
        <v>0</v>
      </c>
      <c r="J22" s="309">
        <v>528.96</v>
      </c>
      <c r="K22" s="16" t="s">
        <v>1022</v>
      </c>
    </row>
    <row r="23" spans="2:13" x14ac:dyDescent="0.25">
      <c r="B23" s="335">
        <v>44567</v>
      </c>
      <c r="D23" s="126" t="s">
        <v>1393</v>
      </c>
      <c r="E23" s="126" t="s">
        <v>1397</v>
      </c>
      <c r="F23" s="126">
        <v>412587</v>
      </c>
      <c r="I23" s="116">
        <v>0</v>
      </c>
      <c r="J23" s="309">
        <v>142.68</v>
      </c>
      <c r="K23" s="16" t="s">
        <v>1024</v>
      </c>
    </row>
    <row r="24" spans="2:13" x14ac:dyDescent="0.25">
      <c r="B24" s="335">
        <v>44568</v>
      </c>
      <c r="D24" s="126" t="s">
        <v>1386</v>
      </c>
      <c r="E24" s="126" t="s">
        <v>1397</v>
      </c>
      <c r="F24" s="126">
        <v>12547</v>
      </c>
      <c r="I24" s="116">
        <v>0</v>
      </c>
      <c r="J24" s="309">
        <v>168.2</v>
      </c>
      <c r="K24" s="16" t="s">
        <v>1028</v>
      </c>
    </row>
    <row r="25" spans="2:13" x14ac:dyDescent="0.25">
      <c r="B25" s="335">
        <v>44569</v>
      </c>
      <c r="D25" s="126" t="s">
        <v>1387</v>
      </c>
      <c r="E25" s="126" t="s">
        <v>1397</v>
      </c>
      <c r="F25" s="126">
        <v>8895478</v>
      </c>
      <c r="I25" s="116">
        <v>0</v>
      </c>
      <c r="J25" s="309">
        <v>867.68000000000006</v>
      </c>
      <c r="K25" s="16" t="s">
        <v>1030</v>
      </c>
    </row>
    <row r="26" spans="2:13" x14ac:dyDescent="0.25">
      <c r="B26" s="335">
        <v>44570</v>
      </c>
      <c r="D26" s="126" t="s">
        <v>1388</v>
      </c>
      <c r="E26" s="126" t="s">
        <v>1397</v>
      </c>
      <c r="F26" s="126">
        <v>322554</v>
      </c>
      <c r="I26" s="116">
        <v>0</v>
      </c>
      <c r="J26" s="309">
        <v>294.64</v>
      </c>
      <c r="K26" s="16" t="s">
        <v>1033</v>
      </c>
    </row>
    <row r="27" spans="2:13" x14ac:dyDescent="0.25">
      <c r="B27" s="335">
        <v>44571</v>
      </c>
      <c r="D27" s="126" t="s">
        <v>1386</v>
      </c>
      <c r="E27" s="126" t="s">
        <v>1397</v>
      </c>
      <c r="F27" s="126">
        <v>57785</v>
      </c>
      <c r="I27" s="116">
        <v>0</v>
      </c>
      <c r="J27" s="309">
        <v>68162.759999999995</v>
      </c>
      <c r="K27" s="16" t="s">
        <v>1039</v>
      </c>
    </row>
    <row r="28" spans="2:13" x14ac:dyDescent="0.25">
      <c r="B28" s="335">
        <v>44572</v>
      </c>
      <c r="D28" s="126" t="s">
        <v>1391</v>
      </c>
      <c r="E28" s="126" t="s">
        <v>1397</v>
      </c>
      <c r="F28" s="126">
        <v>85478</v>
      </c>
      <c r="I28" s="116">
        <v>0</v>
      </c>
      <c r="J28" s="309">
        <v>2814.16</v>
      </c>
      <c r="K28" s="16" t="s">
        <v>1041</v>
      </c>
    </row>
    <row r="29" spans="2:13" x14ac:dyDescent="0.25">
      <c r="B29" s="335">
        <v>44573</v>
      </c>
      <c r="D29" s="126" t="s">
        <v>1393</v>
      </c>
      <c r="E29" s="126" t="s">
        <v>1397</v>
      </c>
      <c r="F29" s="126">
        <v>54785</v>
      </c>
      <c r="I29" s="116">
        <v>0</v>
      </c>
      <c r="J29" s="309">
        <v>2999.76</v>
      </c>
      <c r="K29" s="16" t="s">
        <v>1043</v>
      </c>
    </row>
    <row r="30" spans="2:13" x14ac:dyDescent="0.25">
      <c r="B30" s="335">
        <v>44574</v>
      </c>
      <c r="D30" s="126" t="s">
        <v>1386</v>
      </c>
      <c r="E30" s="126" t="s">
        <v>1397</v>
      </c>
      <c r="F30" s="126">
        <v>412587</v>
      </c>
      <c r="I30" s="116">
        <v>0</v>
      </c>
      <c r="J30" s="309">
        <v>2900</v>
      </c>
      <c r="K30" s="16" t="s">
        <v>1043</v>
      </c>
    </row>
    <row r="31" spans="2:13" ht="15.75" x14ac:dyDescent="0.25">
      <c r="B31" s="335">
        <v>44575</v>
      </c>
      <c r="D31" s="344" t="s">
        <v>1387</v>
      </c>
      <c r="E31" s="344" t="s">
        <v>1398</v>
      </c>
      <c r="F31" s="344">
        <v>12547</v>
      </c>
      <c r="G31" s="344"/>
      <c r="H31" s="344"/>
      <c r="I31" s="345">
        <v>0</v>
      </c>
      <c r="J31" s="346">
        <v>57890</v>
      </c>
      <c r="K31" s="16" t="s">
        <v>1403</v>
      </c>
    </row>
    <row r="32" spans="2:13" x14ac:dyDescent="0.25">
      <c r="B32" s="335">
        <v>44576</v>
      </c>
      <c r="D32" s="342" t="s">
        <v>1388</v>
      </c>
      <c r="E32" s="347" t="s">
        <v>1399</v>
      </c>
      <c r="F32" s="342">
        <v>8895478</v>
      </c>
      <c r="G32" s="342"/>
      <c r="I32" s="116">
        <v>0</v>
      </c>
      <c r="J32" s="343">
        <v>45123</v>
      </c>
      <c r="K32" s="16" t="s">
        <v>1404</v>
      </c>
    </row>
    <row r="33" spans="2:13" x14ac:dyDescent="0.25">
      <c r="B33" s="335">
        <v>44577</v>
      </c>
      <c r="D33" s="342" t="s">
        <v>1386</v>
      </c>
      <c r="E33" s="342" t="s">
        <v>1400</v>
      </c>
      <c r="F33" s="126">
        <v>322554</v>
      </c>
      <c r="I33" s="145">
        <f>[2]RECIBIDO!AK19</f>
        <v>0</v>
      </c>
      <c r="J33" s="343">
        <v>35000</v>
      </c>
      <c r="K33" s="16" t="s">
        <v>1405</v>
      </c>
    </row>
    <row r="34" spans="2:13" x14ac:dyDescent="0.25">
      <c r="B34" s="335">
        <v>44578</v>
      </c>
      <c r="D34" s="342" t="s">
        <v>1391</v>
      </c>
      <c r="E34" s="342" t="s">
        <v>1401</v>
      </c>
      <c r="F34" s="342">
        <v>57785</v>
      </c>
      <c r="H34" s="342"/>
      <c r="I34" s="348">
        <f>[2]RECIBIDO!AK20</f>
        <v>0</v>
      </c>
      <c r="J34" s="343">
        <v>3000</v>
      </c>
      <c r="K34" s="16" t="s">
        <v>1402</v>
      </c>
    </row>
    <row r="35" spans="2:13" x14ac:dyDescent="0.25">
      <c r="B35" s="335">
        <v>44579</v>
      </c>
      <c r="D35" s="126" t="s">
        <v>1393</v>
      </c>
      <c r="E35" s="126" t="s">
        <v>1389</v>
      </c>
      <c r="F35" s="126">
        <v>85478</v>
      </c>
      <c r="I35" s="145">
        <f>[2]RECIBIDO!AK21</f>
        <v>0</v>
      </c>
      <c r="J35" s="341">
        <v>0</v>
      </c>
      <c r="K35" s="16"/>
    </row>
    <row r="36" spans="2:13" x14ac:dyDescent="0.25">
      <c r="B36" s="335">
        <v>44580</v>
      </c>
      <c r="D36" s="126" t="s">
        <v>1386</v>
      </c>
      <c r="E36" s="126" t="s">
        <v>1390</v>
      </c>
      <c r="F36" s="126">
        <v>54785</v>
      </c>
      <c r="I36" s="145">
        <f>[2]RECIBIDO!AK22</f>
        <v>0</v>
      </c>
      <c r="J36" s="341">
        <v>0</v>
      </c>
      <c r="K36" s="16"/>
    </row>
    <row r="37" spans="2:13" x14ac:dyDescent="0.25">
      <c r="B37" s="335">
        <v>44581</v>
      </c>
      <c r="D37" s="126" t="s">
        <v>1387</v>
      </c>
      <c r="E37" s="126" t="s">
        <v>1392</v>
      </c>
      <c r="F37" s="126">
        <v>412587</v>
      </c>
      <c r="I37" s="145">
        <f>[2]RECIBIDO!AK23</f>
        <v>0</v>
      </c>
      <c r="J37" s="341">
        <v>0</v>
      </c>
      <c r="K37" s="16"/>
    </row>
    <row r="38" spans="2:13" x14ac:dyDescent="0.25">
      <c r="B38" s="335">
        <v>44582</v>
      </c>
      <c r="D38" s="126" t="s">
        <v>1388</v>
      </c>
      <c r="E38" s="126" t="s">
        <v>1394</v>
      </c>
      <c r="F38" s="126">
        <v>12547</v>
      </c>
      <c r="I38" s="145">
        <f>[2]RECIBIDO!AK24</f>
        <v>0</v>
      </c>
      <c r="J38" s="341">
        <v>0</v>
      </c>
      <c r="K38" s="16"/>
    </row>
    <row r="39" spans="2:13" x14ac:dyDescent="0.25">
      <c r="B39" s="335">
        <v>44583</v>
      </c>
      <c r="D39" s="126" t="s">
        <v>1386</v>
      </c>
      <c r="E39" s="126" t="str">
        <f>E38</f>
        <v>PAGO POR CUENTA A BANJIO</v>
      </c>
      <c r="F39" s="126">
        <v>8895478</v>
      </c>
      <c r="I39" s="145">
        <f>[2]RECIBIDO!AK25</f>
        <v>0</v>
      </c>
      <c r="J39" s="341">
        <v>0</v>
      </c>
      <c r="K39" s="16"/>
    </row>
    <row r="40" spans="2:13" x14ac:dyDescent="0.25">
      <c r="B40" s="335">
        <v>44584</v>
      </c>
      <c r="D40" s="126" t="s">
        <v>1391</v>
      </c>
      <c r="F40" s="126">
        <v>322554</v>
      </c>
      <c r="I40" s="145">
        <f>[2]RECIBIDO!AK26</f>
        <v>0</v>
      </c>
      <c r="J40" s="341">
        <v>0</v>
      </c>
      <c r="K40" s="16"/>
    </row>
    <row r="41" spans="2:13" x14ac:dyDescent="0.25">
      <c r="B41" s="335">
        <v>44585</v>
      </c>
      <c r="D41" s="126" t="s">
        <v>1395</v>
      </c>
      <c r="F41" s="126">
        <v>57785</v>
      </c>
      <c r="I41" s="145">
        <f>[2]RECIBIDO!AK27</f>
        <v>0</v>
      </c>
      <c r="J41" s="341">
        <v>0</v>
      </c>
      <c r="K41" s="16"/>
    </row>
    <row r="42" spans="2:13" x14ac:dyDescent="0.25">
      <c r="B42" s="336">
        <v>44586</v>
      </c>
      <c r="C42" s="115"/>
      <c r="D42" s="115" t="s">
        <v>1386</v>
      </c>
      <c r="E42" s="115"/>
      <c r="F42" s="115">
        <v>85478</v>
      </c>
      <c r="G42" s="115"/>
      <c r="H42" s="115"/>
      <c r="I42" s="145">
        <f>[2]RECIBIDO!AK28</f>
        <v>0</v>
      </c>
      <c r="J42" s="341">
        <v>0</v>
      </c>
      <c r="K42" s="16"/>
    </row>
    <row r="43" spans="2:13" x14ac:dyDescent="0.25">
      <c r="B43" s="336">
        <v>44587</v>
      </c>
      <c r="C43" s="115"/>
      <c r="D43" s="115" t="s">
        <v>1391</v>
      </c>
      <c r="E43" s="115"/>
      <c r="F43" s="115">
        <v>54785</v>
      </c>
      <c r="G43" s="115"/>
      <c r="H43" s="115"/>
      <c r="I43" s="145">
        <f>[2]RECIBIDO!AK29</f>
        <v>0</v>
      </c>
      <c r="J43" s="341">
        <v>0</v>
      </c>
      <c r="K43" s="16"/>
    </row>
    <row r="44" spans="2:13" x14ac:dyDescent="0.25">
      <c r="B44" s="336">
        <v>44588</v>
      </c>
      <c r="C44" s="115"/>
      <c r="D44" s="115" t="s">
        <v>1393</v>
      </c>
      <c r="E44" s="115"/>
      <c r="F44" s="115">
        <v>412587</v>
      </c>
      <c r="G44" s="115"/>
      <c r="H44" s="115"/>
      <c r="I44" s="145">
        <f>[2]RECIBIDO!AK30</f>
        <v>0</v>
      </c>
      <c r="J44" s="341">
        <v>0</v>
      </c>
      <c r="K44" s="16"/>
      <c r="L44" s="337"/>
      <c r="M44" s="338"/>
    </row>
    <row r="45" spans="2:13" x14ac:dyDescent="0.25">
      <c r="B45" s="336">
        <v>44586</v>
      </c>
      <c r="C45" s="115"/>
      <c r="D45" s="115" t="s">
        <v>1386</v>
      </c>
      <c r="E45" s="115"/>
      <c r="F45" s="115">
        <v>85478</v>
      </c>
      <c r="G45" s="115"/>
      <c r="H45" s="115"/>
      <c r="I45" s="145">
        <f>[2]RECIBIDO!AK31</f>
        <v>0</v>
      </c>
      <c r="J45" s="341">
        <v>0</v>
      </c>
      <c r="K45" s="16"/>
    </row>
    <row r="46" spans="2:13" x14ac:dyDescent="0.25">
      <c r="B46" s="336">
        <v>44590</v>
      </c>
      <c r="C46" s="115"/>
      <c r="D46" s="115"/>
      <c r="E46" s="115"/>
      <c r="F46" s="115"/>
      <c r="G46" s="115"/>
      <c r="H46" s="115"/>
      <c r="I46" s="341">
        <v>0</v>
      </c>
      <c r="J46" s="341">
        <v>0</v>
      </c>
      <c r="K46" s="16"/>
    </row>
    <row r="47" spans="2:13" x14ac:dyDescent="0.25">
      <c r="B47" s="336">
        <v>44591</v>
      </c>
      <c r="C47" s="115"/>
      <c r="D47" s="115"/>
      <c r="E47" s="115"/>
      <c r="F47" s="115"/>
      <c r="G47" s="115"/>
      <c r="H47" s="115"/>
      <c r="I47" s="341">
        <v>0</v>
      </c>
      <c r="J47" s="341">
        <v>0</v>
      </c>
      <c r="K47" s="16"/>
    </row>
    <row r="48" spans="2:13" x14ac:dyDescent="0.25">
      <c r="B48" s="336">
        <v>44592</v>
      </c>
      <c r="C48" s="115"/>
      <c r="D48" s="115"/>
      <c r="E48" s="115"/>
      <c r="F48" s="115"/>
      <c r="G48" s="115"/>
      <c r="H48" s="115"/>
      <c r="I48" s="341">
        <v>0</v>
      </c>
      <c r="J48" s="341">
        <v>0</v>
      </c>
      <c r="K48" s="16"/>
    </row>
    <row r="49" spans="2:11" x14ac:dyDescent="0.25">
      <c r="B49" s="336">
        <v>44586</v>
      </c>
      <c r="C49" s="115"/>
      <c r="D49" s="115" t="s">
        <v>1386</v>
      </c>
      <c r="E49" s="115"/>
      <c r="F49" s="115">
        <v>85478</v>
      </c>
      <c r="G49" s="115"/>
      <c r="H49" s="115"/>
      <c r="I49" s="145">
        <f>[2]RECIBIDO!AK34</f>
        <v>0</v>
      </c>
      <c r="J49" s="341">
        <v>0</v>
      </c>
      <c r="K49" s="16"/>
    </row>
    <row r="50" spans="2:11" x14ac:dyDescent="0.25">
      <c r="B50" s="336">
        <v>44586</v>
      </c>
      <c r="C50" s="115"/>
      <c r="D50" s="115" t="s">
        <v>1386</v>
      </c>
      <c r="E50" s="115"/>
      <c r="F50" s="115">
        <v>85478</v>
      </c>
      <c r="G50" s="115"/>
      <c r="H50" s="115"/>
      <c r="I50" s="145">
        <f>[2]RECIBIDO!AK35</f>
        <v>0</v>
      </c>
      <c r="J50" s="341">
        <v>0</v>
      </c>
      <c r="K50" s="16"/>
    </row>
    <row r="51" spans="2:11" x14ac:dyDescent="0.25">
      <c r="B51" s="336">
        <v>44586</v>
      </c>
      <c r="C51" s="115"/>
      <c r="D51" s="115" t="s">
        <v>1386</v>
      </c>
      <c r="E51" s="115"/>
      <c r="F51" s="115">
        <v>85478</v>
      </c>
      <c r="G51" s="115"/>
      <c r="H51" s="115"/>
      <c r="I51" s="145">
        <f>[2]RECIBIDO!AK36</f>
        <v>0</v>
      </c>
      <c r="J51" s="341">
        <v>0</v>
      </c>
      <c r="K51" s="16"/>
    </row>
    <row r="52" spans="2:11" x14ac:dyDescent="0.25">
      <c r="B52" s="336">
        <v>44586</v>
      </c>
      <c r="C52" s="115"/>
      <c r="D52" s="115" t="s">
        <v>1386</v>
      </c>
      <c r="E52" s="115"/>
      <c r="F52" s="115">
        <v>85478</v>
      </c>
      <c r="G52" s="115"/>
      <c r="H52" s="115"/>
      <c r="I52" s="145">
        <f>[2]RECIBIDO!AK37</f>
        <v>0</v>
      </c>
      <c r="J52" s="341">
        <v>0</v>
      </c>
      <c r="K52" s="16"/>
    </row>
    <row r="53" spans="2:11" x14ac:dyDescent="0.25">
      <c r="B53" s="336">
        <v>44586</v>
      </c>
      <c r="C53" s="115"/>
      <c r="D53" s="115" t="s">
        <v>1386</v>
      </c>
      <c r="E53" s="115"/>
      <c r="F53" s="115">
        <v>85478</v>
      </c>
      <c r="G53" s="115"/>
      <c r="H53" s="115"/>
      <c r="I53" s="145">
        <f>[2]RECIBIDO!AK38</f>
        <v>0</v>
      </c>
      <c r="J53" s="341">
        <v>0</v>
      </c>
      <c r="K53" s="16"/>
    </row>
    <row r="54" spans="2:11" x14ac:dyDescent="0.25">
      <c r="B54" s="336">
        <v>44586</v>
      </c>
      <c r="C54" s="115"/>
      <c r="D54" s="115" t="s">
        <v>1386</v>
      </c>
      <c r="E54" s="115"/>
      <c r="F54" s="115">
        <v>85478</v>
      </c>
      <c r="G54" s="115"/>
      <c r="H54" s="115"/>
      <c r="I54" s="145">
        <f>[2]RECIBIDO!AK39</f>
        <v>0</v>
      </c>
      <c r="J54" s="341">
        <v>0</v>
      </c>
      <c r="K54" s="16"/>
    </row>
    <row r="55" spans="2:11" x14ac:dyDescent="0.25">
      <c r="B55" s="336">
        <v>44586</v>
      </c>
      <c r="C55" s="115"/>
      <c r="D55" s="115" t="s">
        <v>1386</v>
      </c>
      <c r="E55" s="115"/>
      <c r="F55" s="115">
        <v>85478</v>
      </c>
      <c r="G55" s="115"/>
      <c r="H55" s="115"/>
      <c r="I55" s="145">
        <f>[2]RECIBIDO!AK40</f>
        <v>0</v>
      </c>
      <c r="J55" s="341">
        <v>0</v>
      </c>
      <c r="K55" s="16"/>
    </row>
    <row r="56" spans="2:11" x14ac:dyDescent="0.25">
      <c r="B56" s="336">
        <v>44586</v>
      </c>
      <c r="C56" s="115"/>
      <c r="D56" s="115" t="s">
        <v>1386</v>
      </c>
      <c r="E56" s="115"/>
      <c r="F56" s="115">
        <v>85478</v>
      </c>
      <c r="G56" s="115"/>
      <c r="H56" s="115"/>
      <c r="I56" s="145">
        <f>[2]RECIBIDO!AK41</f>
        <v>0</v>
      </c>
      <c r="J56" s="341">
        <v>0</v>
      </c>
      <c r="K56" s="16"/>
    </row>
    <row r="57" spans="2:11" x14ac:dyDescent="0.25">
      <c r="B57" s="336">
        <v>44586</v>
      </c>
      <c r="C57" s="115"/>
      <c r="D57" s="115" t="s">
        <v>1386</v>
      </c>
      <c r="E57" s="115"/>
      <c r="F57" s="115">
        <v>85478</v>
      </c>
      <c r="G57" s="115"/>
      <c r="H57" s="115"/>
      <c r="I57" s="145">
        <f>[2]RECIBIDO!AK42</f>
        <v>0</v>
      </c>
      <c r="J57" s="341">
        <v>0</v>
      </c>
      <c r="K57" s="16"/>
    </row>
    <row r="58" spans="2:11" x14ac:dyDescent="0.25">
      <c r="B58" s="336">
        <v>44586</v>
      </c>
      <c r="C58" s="115"/>
      <c r="D58" s="115" t="s">
        <v>1386</v>
      </c>
      <c r="E58" s="115"/>
      <c r="F58" s="115">
        <v>85478</v>
      </c>
      <c r="G58" s="115"/>
      <c r="H58" s="115"/>
      <c r="I58" s="145">
        <f>[2]RECIBIDO!AK43</f>
        <v>0</v>
      </c>
      <c r="J58" s="341">
        <v>0</v>
      </c>
      <c r="K58" s="16"/>
    </row>
    <row r="59" spans="2:11" x14ac:dyDescent="0.25">
      <c r="B59" s="336">
        <v>44587</v>
      </c>
      <c r="C59" s="115"/>
      <c r="D59" s="115" t="s">
        <v>1386</v>
      </c>
      <c r="E59" s="115"/>
      <c r="F59" s="115">
        <v>85478</v>
      </c>
      <c r="G59" s="115"/>
      <c r="H59" s="115"/>
      <c r="I59" s="145">
        <f>[2]RECIBIDO!AK44</f>
        <v>0</v>
      </c>
      <c r="J59" s="341">
        <v>0</v>
      </c>
      <c r="K59" s="16"/>
    </row>
    <row r="60" spans="2:11" x14ac:dyDescent="0.25">
      <c r="B60" s="336">
        <v>44588</v>
      </c>
      <c r="C60" s="115"/>
      <c r="D60" s="115" t="s">
        <v>1386</v>
      </c>
      <c r="E60" s="115"/>
      <c r="F60" s="115">
        <v>85478</v>
      </c>
      <c r="G60" s="115"/>
      <c r="H60" s="115"/>
      <c r="I60" s="145">
        <f>[2]RECIBIDO!AK45</f>
        <v>0</v>
      </c>
      <c r="J60" s="341">
        <v>0</v>
      </c>
      <c r="K60" s="16"/>
    </row>
    <row r="61" spans="2:11" x14ac:dyDescent="0.25">
      <c r="B61" s="336">
        <v>44589</v>
      </c>
      <c r="C61" s="115"/>
      <c r="D61" s="115" t="s">
        <v>1386</v>
      </c>
      <c r="E61" s="115"/>
      <c r="F61" s="115">
        <v>85478</v>
      </c>
      <c r="G61" s="115"/>
      <c r="H61" s="115"/>
      <c r="I61" s="145">
        <f>[2]RECIBIDO!AK46</f>
        <v>0</v>
      </c>
      <c r="J61" s="341">
        <v>0</v>
      </c>
      <c r="K61" s="16"/>
    </row>
    <row r="62" spans="2:11" x14ac:dyDescent="0.25">
      <c r="B62" s="336">
        <v>44590</v>
      </c>
      <c r="C62" s="115"/>
      <c r="D62" s="115" t="s">
        <v>1386</v>
      </c>
      <c r="E62" s="115"/>
      <c r="F62" s="115">
        <v>85478</v>
      </c>
      <c r="G62" s="115"/>
      <c r="H62" s="115"/>
      <c r="I62" s="145">
        <f>[2]RECIBIDO!AK47</f>
        <v>0</v>
      </c>
      <c r="J62" s="341">
        <v>0</v>
      </c>
      <c r="K62" s="16"/>
    </row>
    <row r="63" spans="2:11" x14ac:dyDescent="0.25">
      <c r="B63" s="336">
        <v>44591</v>
      </c>
      <c r="C63" s="115"/>
      <c r="D63" s="115" t="s">
        <v>1386</v>
      </c>
      <c r="E63" s="115"/>
      <c r="F63" s="115">
        <v>85478</v>
      </c>
      <c r="G63" s="115"/>
      <c r="H63" s="115"/>
      <c r="I63" s="145">
        <f>[2]RECIBIDO!AK48</f>
        <v>0</v>
      </c>
      <c r="J63" s="341">
        <v>0</v>
      </c>
      <c r="K63" s="16"/>
    </row>
    <row r="64" spans="2:11" x14ac:dyDescent="0.25">
      <c r="B64" s="336">
        <v>44592</v>
      </c>
      <c r="C64" s="115"/>
      <c r="D64" s="115" t="s">
        <v>1386</v>
      </c>
      <c r="E64" s="115"/>
      <c r="F64" s="115">
        <v>85478</v>
      </c>
      <c r="G64" s="115"/>
      <c r="H64" s="115"/>
      <c r="I64" s="145">
        <f>[2]RECIBIDO!AK49</f>
        <v>0</v>
      </c>
      <c r="J64" s="341">
        <v>0</v>
      </c>
      <c r="K64" s="16"/>
    </row>
    <row r="65" spans="2:11" x14ac:dyDescent="0.25">
      <c r="B65" s="336">
        <v>44592</v>
      </c>
      <c r="C65" s="115"/>
      <c r="D65" s="115" t="s">
        <v>1386</v>
      </c>
      <c r="E65" s="115"/>
      <c r="F65" s="115">
        <v>85478</v>
      </c>
      <c r="G65" s="115"/>
      <c r="H65" s="115"/>
      <c r="I65" s="145">
        <f>[2]RECIBIDO!AK50</f>
        <v>0</v>
      </c>
      <c r="J65" s="341">
        <v>0</v>
      </c>
      <c r="K65" s="16"/>
    </row>
    <row r="66" spans="2:11" x14ac:dyDescent="0.25">
      <c r="B66" s="336">
        <v>44592</v>
      </c>
      <c r="C66" s="115"/>
      <c r="D66" s="115" t="s">
        <v>1386</v>
      </c>
      <c r="E66" s="115"/>
      <c r="F66" s="115">
        <v>85478</v>
      </c>
      <c r="G66" s="115"/>
      <c r="H66" s="115"/>
      <c r="I66" s="145">
        <f>[2]RECIBIDO!AK51</f>
        <v>0</v>
      </c>
      <c r="J66" s="341">
        <v>0</v>
      </c>
      <c r="K66" s="16"/>
    </row>
    <row r="67" spans="2:11" x14ac:dyDescent="0.25">
      <c r="B67" s="336">
        <v>44592</v>
      </c>
      <c r="C67" s="115"/>
      <c r="D67" s="115" t="s">
        <v>1386</v>
      </c>
      <c r="E67" s="115"/>
      <c r="F67" s="115">
        <v>85478</v>
      </c>
      <c r="G67" s="115"/>
      <c r="H67" s="115"/>
      <c r="I67" s="145">
        <f>[2]RECIBIDO!AK52</f>
        <v>0</v>
      </c>
      <c r="J67" s="341">
        <v>0</v>
      </c>
      <c r="K67" s="16"/>
    </row>
    <row r="68" spans="2:11" x14ac:dyDescent="0.25">
      <c r="B68" s="336">
        <v>44592</v>
      </c>
      <c r="C68" s="115"/>
      <c r="D68" s="115" t="s">
        <v>1386</v>
      </c>
      <c r="E68" s="115"/>
      <c r="F68" s="115">
        <v>85478</v>
      </c>
      <c r="G68" s="115"/>
      <c r="H68" s="115"/>
      <c r="I68" s="145">
        <f>[2]RECIBIDO!AK53</f>
        <v>0</v>
      </c>
      <c r="J68" s="341">
        <v>0</v>
      </c>
      <c r="K68" s="16"/>
    </row>
    <row r="69" spans="2:11" x14ac:dyDescent="0.25">
      <c r="B69" s="336">
        <v>44592</v>
      </c>
      <c r="C69" s="115"/>
      <c r="D69" s="115" t="s">
        <v>1386</v>
      </c>
      <c r="E69" s="115"/>
      <c r="F69" s="115">
        <v>85478</v>
      </c>
      <c r="G69" s="115"/>
      <c r="H69" s="115"/>
      <c r="I69" s="145">
        <f>[2]RECIBIDO!AK54</f>
        <v>0</v>
      </c>
      <c r="J69" s="341">
        <v>0</v>
      </c>
      <c r="K69" s="16"/>
    </row>
  </sheetData>
  <mergeCells count="5">
    <mergeCell ref="I6:L6"/>
    <mergeCell ref="A9:D10"/>
    <mergeCell ref="K16:L16"/>
    <mergeCell ref="B11:E14"/>
    <mergeCell ref="L17:M17"/>
  </mergeCells>
  <pageMargins left="0.7" right="0.7" top="0.75" bottom="0.75" header="0.3" footer="0.3"/>
  <pageSetup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5"/>
  <sheetViews>
    <sheetView workbookViewId="0">
      <pane xSplit="10" ySplit="4" topLeftCell="U5" activePane="bottomRight" state="frozen"/>
      <selection pane="topRight" activeCell="K1" sqref="K1"/>
      <selection pane="bottomLeft" activeCell="A2" sqref="A2"/>
      <selection pane="bottomRight" activeCell="X5" sqref="X5"/>
    </sheetView>
  </sheetViews>
  <sheetFormatPr baseColWidth="10" defaultRowHeight="15" x14ac:dyDescent="0.25"/>
  <cols>
    <col min="1" max="1" width="11.42578125" style="543"/>
    <col min="2" max="9" width="0" style="543" hidden="1" customWidth="1"/>
    <col min="10" max="24" width="11.42578125" style="543"/>
    <col min="25" max="25" width="12.140625" style="543" customWidth="1"/>
    <col min="26" max="26" width="15.85546875" style="543" customWidth="1"/>
    <col min="27" max="27" width="14.42578125" style="543" customWidth="1"/>
    <col min="28" max="28" width="13.140625" style="543" bestFit="1" customWidth="1"/>
    <col min="29" max="29" width="21.42578125" style="543" customWidth="1"/>
    <col min="30" max="30" width="23" style="543" bestFit="1" customWidth="1"/>
    <col min="31" max="31" width="13.140625" style="543" bestFit="1" customWidth="1"/>
    <col min="32" max="32" width="11.42578125" style="543"/>
    <col min="33" max="33" width="27.42578125" style="543" bestFit="1" customWidth="1"/>
    <col min="34" max="16384" width="11.42578125" style="543"/>
  </cols>
  <sheetData>
    <row r="1" spans="1:31" ht="21" customHeight="1" x14ac:dyDescent="0.25">
      <c r="X1" s="591" t="s">
        <v>1573</v>
      </c>
      <c r="Y1" s="591"/>
      <c r="Z1" s="591"/>
    </row>
    <row r="2" spans="1:31" x14ac:dyDescent="0.25">
      <c r="X2" s="585" t="s">
        <v>1572</v>
      </c>
      <c r="Y2" s="125"/>
      <c r="Z2" s="126"/>
    </row>
    <row r="4" spans="1:31" s="551" customFormat="1" ht="28.5" customHeight="1" x14ac:dyDescent="0.25">
      <c r="A4" s="550" t="s">
        <v>971</v>
      </c>
      <c r="B4" s="550" t="s">
        <v>972</v>
      </c>
      <c r="C4" s="550" t="s">
        <v>159</v>
      </c>
      <c r="D4" s="550" t="s">
        <v>973</v>
      </c>
      <c r="E4" s="550" t="s">
        <v>974</v>
      </c>
      <c r="F4" s="550" t="s">
        <v>975</v>
      </c>
      <c r="G4" s="550" t="s">
        <v>145</v>
      </c>
      <c r="H4" s="550" t="s">
        <v>146</v>
      </c>
      <c r="I4" s="550" t="s">
        <v>144</v>
      </c>
      <c r="J4" s="550" t="s">
        <v>976</v>
      </c>
      <c r="K4" s="550" t="s">
        <v>977</v>
      </c>
      <c r="L4" s="550" t="s">
        <v>978</v>
      </c>
      <c r="M4" s="550" t="s">
        <v>979</v>
      </c>
      <c r="N4" s="550" t="s">
        <v>980</v>
      </c>
      <c r="O4" s="550" t="s">
        <v>981</v>
      </c>
      <c r="P4" s="550" t="s">
        <v>982</v>
      </c>
      <c r="Q4" s="550" t="s">
        <v>983</v>
      </c>
      <c r="R4" s="550" t="s">
        <v>984</v>
      </c>
      <c r="S4" s="550" t="s">
        <v>985</v>
      </c>
      <c r="T4" s="550" t="s">
        <v>169</v>
      </c>
      <c r="U4" s="550" t="s">
        <v>165</v>
      </c>
      <c r="V4" s="550" t="s">
        <v>986</v>
      </c>
      <c r="W4" s="550" t="s">
        <v>167</v>
      </c>
      <c r="X4" s="550" t="s">
        <v>162</v>
      </c>
      <c r="Y4" s="550" t="s">
        <v>987</v>
      </c>
      <c r="Z4" s="550" t="s">
        <v>988</v>
      </c>
      <c r="AA4" s="550" t="s">
        <v>989</v>
      </c>
      <c r="AB4" s="550" t="s">
        <v>990</v>
      </c>
      <c r="AC4" s="550" t="s">
        <v>155</v>
      </c>
      <c r="AD4" s="550" t="s">
        <v>991</v>
      </c>
      <c r="AE4" s="550" t="s">
        <v>149</v>
      </c>
    </row>
    <row r="5" spans="1:31" x14ac:dyDescent="0.25">
      <c r="A5" s="543">
        <v>1</v>
      </c>
      <c r="B5" s="543" t="s">
        <v>184</v>
      </c>
      <c r="C5" s="543" t="s">
        <v>1044</v>
      </c>
      <c r="D5" s="543" t="s">
        <v>996</v>
      </c>
      <c r="F5" s="543" t="s">
        <v>1045</v>
      </c>
      <c r="G5" s="543" t="s">
        <v>1046</v>
      </c>
      <c r="H5" s="543" t="s">
        <v>1047</v>
      </c>
      <c r="I5" s="543" t="s">
        <v>999</v>
      </c>
      <c r="J5" s="543" t="s">
        <v>1259</v>
      </c>
      <c r="K5" s="543" t="s">
        <v>1259</v>
      </c>
      <c r="L5" s="543" t="s">
        <v>996</v>
      </c>
      <c r="N5" s="543" t="s">
        <v>1260</v>
      </c>
      <c r="O5" s="543" t="s">
        <v>1048</v>
      </c>
      <c r="P5" s="543" t="s">
        <v>1049</v>
      </c>
      <c r="Q5" s="543" t="s">
        <v>1001</v>
      </c>
      <c r="R5" s="543" t="s">
        <v>1050</v>
      </c>
      <c r="S5" s="543" t="s">
        <v>1051</v>
      </c>
      <c r="T5" s="543" t="s">
        <v>1052</v>
      </c>
      <c r="U5" s="543" t="s">
        <v>1007</v>
      </c>
      <c r="V5" s="543" t="s">
        <v>1008</v>
      </c>
      <c r="W5" s="543" t="s">
        <v>1009</v>
      </c>
      <c r="X5" s="543" t="s">
        <v>183</v>
      </c>
      <c r="Y5" s="543" t="s">
        <v>594</v>
      </c>
      <c r="Z5" s="543" t="s">
        <v>1038</v>
      </c>
      <c r="AA5" s="543" t="s">
        <v>1011</v>
      </c>
      <c r="AB5" s="542">
        <v>243.75</v>
      </c>
      <c r="AC5" s="542">
        <v>0</v>
      </c>
      <c r="AD5" s="542">
        <f>AB5*0.16</f>
        <v>39</v>
      </c>
      <c r="AE5" s="542">
        <v>289.01</v>
      </c>
    </row>
    <row r="6" spans="1:31" x14ac:dyDescent="0.25">
      <c r="A6" s="543">
        <v>1</v>
      </c>
      <c r="B6" s="543" t="s">
        <v>184</v>
      </c>
      <c r="C6" s="543" t="s">
        <v>1053</v>
      </c>
      <c r="D6" s="543" t="s">
        <v>996</v>
      </c>
      <c r="F6" s="543" t="s">
        <v>1054</v>
      </c>
      <c r="G6" s="543" t="s">
        <v>151</v>
      </c>
      <c r="H6" s="543" t="s">
        <v>1055</v>
      </c>
      <c r="I6" s="543" t="s">
        <v>999</v>
      </c>
      <c r="J6" s="543" t="s">
        <v>1259</v>
      </c>
      <c r="K6" s="543" t="s">
        <v>1259</v>
      </c>
      <c r="L6" s="543" t="s">
        <v>996</v>
      </c>
      <c r="N6" s="543" t="s">
        <v>1260</v>
      </c>
      <c r="O6" s="543" t="s">
        <v>1056</v>
      </c>
      <c r="P6" s="543" t="s">
        <v>1057</v>
      </c>
      <c r="Q6" s="543" t="s">
        <v>1001</v>
      </c>
      <c r="R6" s="543" t="s">
        <v>1058</v>
      </c>
      <c r="S6" s="543" t="s">
        <v>1059</v>
      </c>
      <c r="T6" s="543" t="s">
        <v>1522</v>
      </c>
      <c r="U6" s="543" t="s">
        <v>1007</v>
      </c>
      <c r="V6" s="543" t="s">
        <v>1008</v>
      </c>
      <c r="W6" s="543" t="s">
        <v>1009</v>
      </c>
      <c r="X6" s="543" t="s">
        <v>183</v>
      </c>
      <c r="Y6" s="543" t="s">
        <v>594</v>
      </c>
      <c r="Z6" s="543" t="s">
        <v>1038</v>
      </c>
      <c r="AA6" s="543" t="s">
        <v>1011</v>
      </c>
      <c r="AB6" s="542">
        <v>2332.06</v>
      </c>
      <c r="AC6" s="542">
        <v>0</v>
      </c>
      <c r="AD6" s="542">
        <v>0</v>
      </c>
      <c r="AE6" s="542">
        <v>2705.19</v>
      </c>
    </row>
    <row r="7" spans="1:31" x14ac:dyDescent="0.25">
      <c r="A7" s="543">
        <v>1</v>
      </c>
      <c r="B7" s="543" t="s">
        <v>184</v>
      </c>
      <c r="C7" s="543" t="s">
        <v>1060</v>
      </c>
      <c r="D7" s="543" t="s">
        <v>996</v>
      </c>
      <c r="F7" s="543" t="s">
        <v>1061</v>
      </c>
      <c r="G7" s="543" t="s">
        <v>1062</v>
      </c>
      <c r="H7" s="543" t="s">
        <v>1063</v>
      </c>
      <c r="I7" s="543" t="s">
        <v>999</v>
      </c>
      <c r="J7" s="543" t="s">
        <v>1259</v>
      </c>
      <c r="K7" s="543" t="s">
        <v>1259</v>
      </c>
      <c r="L7" s="543" t="s">
        <v>996</v>
      </c>
      <c r="N7" s="543" t="s">
        <v>1260</v>
      </c>
      <c r="O7" s="543" t="s">
        <v>1064</v>
      </c>
      <c r="P7" s="543" t="s">
        <v>1065</v>
      </c>
      <c r="Q7" s="543" t="s">
        <v>1001</v>
      </c>
      <c r="R7" s="543" t="s">
        <v>1002</v>
      </c>
      <c r="S7" s="543" t="s">
        <v>1066</v>
      </c>
      <c r="T7" s="543" t="s">
        <v>1522</v>
      </c>
      <c r="U7" s="543" t="s">
        <v>1007</v>
      </c>
      <c r="V7" s="543" t="s">
        <v>1008</v>
      </c>
      <c r="W7" s="543" t="s">
        <v>1009</v>
      </c>
      <c r="X7" s="543" t="s">
        <v>183</v>
      </c>
      <c r="Y7" s="543" t="s">
        <v>594</v>
      </c>
      <c r="Z7" s="543" t="s">
        <v>1038</v>
      </c>
      <c r="AA7" s="543" t="s">
        <v>1011</v>
      </c>
      <c r="AB7" s="542">
        <v>86.04</v>
      </c>
      <c r="AC7" s="542">
        <v>0</v>
      </c>
      <c r="AD7" s="542">
        <v>0</v>
      </c>
      <c r="AE7" s="542">
        <v>99.81</v>
      </c>
    </row>
    <row r="8" spans="1:31" x14ac:dyDescent="0.25">
      <c r="A8" s="543">
        <v>1</v>
      </c>
      <c r="B8" s="543" t="s">
        <v>184</v>
      </c>
      <c r="C8" s="543" t="s">
        <v>1067</v>
      </c>
      <c r="D8" s="543" t="s">
        <v>996</v>
      </c>
      <c r="F8" s="543" t="s">
        <v>1068</v>
      </c>
      <c r="G8" s="543" t="s">
        <v>1069</v>
      </c>
      <c r="H8" s="543" t="s">
        <v>1070</v>
      </c>
      <c r="I8" s="543" t="s">
        <v>999</v>
      </c>
      <c r="J8" s="543" t="s">
        <v>1259</v>
      </c>
      <c r="K8" s="543" t="s">
        <v>1259</v>
      </c>
      <c r="L8" s="543" t="s">
        <v>996</v>
      </c>
      <c r="N8" s="543" t="s">
        <v>1260</v>
      </c>
      <c r="O8" s="543" t="s">
        <v>1071</v>
      </c>
      <c r="P8" s="543" t="s">
        <v>1072</v>
      </c>
      <c r="Q8" s="543" t="s">
        <v>1001</v>
      </c>
      <c r="R8" s="543" t="s">
        <v>1002</v>
      </c>
      <c r="S8" s="543" t="s">
        <v>1073</v>
      </c>
      <c r="T8" s="543" t="s">
        <v>1522</v>
      </c>
      <c r="U8" s="543" t="s">
        <v>1007</v>
      </c>
      <c r="V8" s="543" t="s">
        <v>1008</v>
      </c>
      <c r="W8" s="543" t="s">
        <v>1009</v>
      </c>
      <c r="X8" s="543" t="s">
        <v>183</v>
      </c>
      <c r="Y8" s="543" t="s">
        <v>594</v>
      </c>
      <c r="Z8" s="543" t="s">
        <v>1038</v>
      </c>
      <c r="AA8" s="543" t="s">
        <v>1011</v>
      </c>
      <c r="AB8" s="542">
        <v>115.52</v>
      </c>
      <c r="AC8" s="542">
        <v>0</v>
      </c>
      <c r="AD8" s="542">
        <v>0</v>
      </c>
      <c r="AE8" s="542">
        <v>134</v>
      </c>
    </row>
    <row r="9" spans="1:31" x14ac:dyDescent="0.25">
      <c r="A9" s="543">
        <v>1</v>
      </c>
      <c r="B9" s="543" t="s">
        <v>184</v>
      </c>
      <c r="C9" s="543" t="s">
        <v>1075</v>
      </c>
      <c r="D9" s="543" t="s">
        <v>996</v>
      </c>
      <c r="F9" s="543" t="s">
        <v>1076</v>
      </c>
      <c r="G9" s="543" t="s">
        <v>1077</v>
      </c>
      <c r="H9" s="543" t="s">
        <v>1078</v>
      </c>
      <c r="I9" s="543" t="s">
        <v>999</v>
      </c>
      <c r="J9" s="543" t="s">
        <v>1259</v>
      </c>
      <c r="K9" s="543" t="s">
        <v>1259</v>
      </c>
      <c r="L9" s="543" t="s">
        <v>996</v>
      </c>
      <c r="N9" s="543" t="s">
        <v>1260</v>
      </c>
      <c r="O9" s="543" t="s">
        <v>1079</v>
      </c>
      <c r="P9" s="543" t="s">
        <v>1080</v>
      </c>
      <c r="Q9" s="543" t="s">
        <v>1001</v>
      </c>
      <c r="R9" s="543" t="s">
        <v>1002</v>
      </c>
      <c r="S9" s="543" t="s">
        <v>1081</v>
      </c>
      <c r="T9" s="543" t="s">
        <v>1522</v>
      </c>
      <c r="U9" s="543" t="s">
        <v>1007</v>
      </c>
      <c r="V9" s="543" t="s">
        <v>1008</v>
      </c>
      <c r="W9" s="543" t="s">
        <v>1009</v>
      </c>
      <c r="X9" s="543" t="s">
        <v>183</v>
      </c>
      <c r="Y9" s="543" t="s">
        <v>594</v>
      </c>
      <c r="Z9" s="543" t="s">
        <v>1038</v>
      </c>
      <c r="AA9" s="543" t="s">
        <v>1011</v>
      </c>
      <c r="AB9" s="542">
        <v>66.38</v>
      </c>
      <c r="AC9" s="542">
        <v>0</v>
      </c>
      <c r="AD9" s="542">
        <v>0</v>
      </c>
      <c r="AE9" s="542">
        <v>77</v>
      </c>
    </row>
    <row r="10" spans="1:31" x14ac:dyDescent="0.25">
      <c r="A10" s="543">
        <v>1</v>
      </c>
      <c r="B10" s="543" t="s">
        <v>184</v>
      </c>
      <c r="C10" s="543" t="s">
        <v>1082</v>
      </c>
      <c r="D10" s="543" t="s">
        <v>996</v>
      </c>
      <c r="F10" s="543" t="s">
        <v>1083</v>
      </c>
      <c r="G10" s="543" t="s">
        <v>1084</v>
      </c>
      <c r="H10" s="543" t="s">
        <v>1085</v>
      </c>
      <c r="I10" s="543" t="s">
        <v>999</v>
      </c>
      <c r="J10" s="543" t="s">
        <v>1259</v>
      </c>
      <c r="K10" s="543" t="s">
        <v>1259</v>
      </c>
      <c r="L10" s="543" t="s">
        <v>996</v>
      </c>
      <c r="N10" s="543" t="s">
        <v>1260</v>
      </c>
      <c r="O10" s="543" t="s">
        <v>1086</v>
      </c>
      <c r="P10" s="543" t="s">
        <v>1087</v>
      </c>
      <c r="Q10" s="543" t="s">
        <v>1001</v>
      </c>
      <c r="R10" s="543" t="s">
        <v>1002</v>
      </c>
      <c r="S10" s="543" t="s">
        <v>1066</v>
      </c>
      <c r="T10" s="543" t="s">
        <v>1522</v>
      </c>
      <c r="U10" s="543" t="s">
        <v>1007</v>
      </c>
      <c r="V10" s="543" t="s">
        <v>1008</v>
      </c>
      <c r="W10" s="543" t="s">
        <v>1009</v>
      </c>
      <c r="X10" s="543" t="s">
        <v>183</v>
      </c>
      <c r="Y10" s="543" t="s">
        <v>594</v>
      </c>
      <c r="Z10" s="543" t="s">
        <v>1038</v>
      </c>
      <c r="AA10" s="543" t="s">
        <v>1011</v>
      </c>
      <c r="AB10" s="542">
        <v>34.6</v>
      </c>
      <c r="AC10" s="542">
        <v>0</v>
      </c>
      <c r="AD10" s="542">
        <v>0</v>
      </c>
      <c r="AE10" s="542">
        <v>40.14</v>
      </c>
    </row>
    <row r="11" spans="1:31" x14ac:dyDescent="0.25">
      <c r="A11" s="543">
        <v>1</v>
      </c>
      <c r="B11" s="543" t="s">
        <v>184</v>
      </c>
      <c r="C11" s="543" t="s">
        <v>1088</v>
      </c>
      <c r="D11" s="543" t="s">
        <v>996</v>
      </c>
      <c r="F11" s="543" t="s">
        <v>1089</v>
      </c>
      <c r="G11" s="543" t="s">
        <v>1090</v>
      </c>
      <c r="H11" s="543" t="s">
        <v>1091</v>
      </c>
      <c r="I11" s="543" t="s">
        <v>999</v>
      </c>
      <c r="J11" s="543" t="s">
        <v>1259</v>
      </c>
      <c r="K11" s="543" t="s">
        <v>1259</v>
      </c>
      <c r="L11" s="543" t="s">
        <v>996</v>
      </c>
      <c r="N11" s="543" t="s">
        <v>1260</v>
      </c>
      <c r="O11" s="543" t="s">
        <v>1092</v>
      </c>
      <c r="P11" s="543" t="s">
        <v>1093</v>
      </c>
      <c r="Q11" s="543" t="s">
        <v>1001</v>
      </c>
      <c r="R11" s="543" t="s">
        <v>1002</v>
      </c>
      <c r="S11" s="543" t="s">
        <v>1066</v>
      </c>
      <c r="T11" s="543" t="s">
        <v>1522</v>
      </c>
      <c r="U11" s="543" t="s">
        <v>1007</v>
      </c>
      <c r="V11" s="543" t="s">
        <v>1008</v>
      </c>
      <c r="W11" s="543" t="s">
        <v>1009</v>
      </c>
      <c r="X11" s="543" t="s">
        <v>183</v>
      </c>
      <c r="Y11" s="543" t="s">
        <v>594</v>
      </c>
      <c r="Z11" s="543" t="s">
        <v>1038</v>
      </c>
      <c r="AA11" s="543" t="s">
        <v>1011</v>
      </c>
      <c r="AB11" s="542">
        <v>162.78</v>
      </c>
      <c r="AC11" s="542">
        <v>0</v>
      </c>
      <c r="AD11" s="542">
        <v>0</v>
      </c>
      <c r="AE11" s="542">
        <v>188.83</v>
      </c>
    </row>
    <row r="12" spans="1:31" x14ac:dyDescent="0.25">
      <c r="A12" s="543">
        <v>1</v>
      </c>
      <c r="B12" s="543" t="s">
        <v>184</v>
      </c>
      <c r="C12" s="543" t="s">
        <v>1094</v>
      </c>
      <c r="D12" s="543" t="s">
        <v>996</v>
      </c>
      <c r="F12" s="543" t="s">
        <v>1095</v>
      </c>
      <c r="G12" s="543" t="s">
        <v>1096</v>
      </c>
      <c r="H12" s="543" t="s">
        <v>1097</v>
      </c>
      <c r="I12" s="543" t="s">
        <v>999</v>
      </c>
      <c r="J12" s="543" t="s">
        <v>1259</v>
      </c>
      <c r="K12" s="543" t="s">
        <v>1259</v>
      </c>
      <c r="L12" s="543" t="s">
        <v>996</v>
      </c>
      <c r="N12" s="543" t="s">
        <v>1260</v>
      </c>
      <c r="O12" s="543" t="s">
        <v>1098</v>
      </c>
      <c r="P12" s="543" t="s">
        <v>1099</v>
      </c>
      <c r="Q12" s="543" t="s">
        <v>1001</v>
      </c>
      <c r="R12" s="543" t="s">
        <v>1002</v>
      </c>
      <c r="S12" s="543" t="s">
        <v>1066</v>
      </c>
      <c r="T12" s="543" t="s">
        <v>1522</v>
      </c>
      <c r="U12" s="543" t="s">
        <v>1007</v>
      </c>
      <c r="V12" s="543" t="s">
        <v>1008</v>
      </c>
      <c r="W12" s="543" t="s">
        <v>1009</v>
      </c>
      <c r="X12" s="543" t="s">
        <v>183</v>
      </c>
      <c r="Y12" s="543" t="s">
        <v>594</v>
      </c>
      <c r="Z12" s="543" t="s">
        <v>1038</v>
      </c>
      <c r="AA12" s="543" t="s">
        <v>1011</v>
      </c>
      <c r="AB12" s="542">
        <v>149.97</v>
      </c>
      <c r="AC12" s="542">
        <v>0</v>
      </c>
      <c r="AD12" s="542">
        <v>0</v>
      </c>
      <c r="AE12" s="542">
        <v>173.97</v>
      </c>
    </row>
    <row r="13" spans="1:31" x14ac:dyDescent="0.25">
      <c r="A13" s="543">
        <v>1</v>
      </c>
      <c r="B13" s="543" t="s">
        <v>184</v>
      </c>
      <c r="C13" s="543" t="s">
        <v>1100</v>
      </c>
      <c r="D13" s="543" t="s">
        <v>996</v>
      </c>
      <c r="F13" s="543" t="s">
        <v>1089</v>
      </c>
      <c r="G13" s="543" t="s">
        <v>1090</v>
      </c>
      <c r="H13" s="543" t="s">
        <v>1101</v>
      </c>
      <c r="I13" s="543" t="s">
        <v>999</v>
      </c>
      <c r="J13" s="543" t="s">
        <v>1259</v>
      </c>
      <c r="K13" s="543" t="s">
        <v>1259</v>
      </c>
      <c r="L13" s="543" t="s">
        <v>996</v>
      </c>
      <c r="N13" s="543" t="s">
        <v>1260</v>
      </c>
      <c r="O13" s="543" t="s">
        <v>1092</v>
      </c>
      <c r="P13" s="543" t="s">
        <v>1093</v>
      </c>
      <c r="Q13" s="543" t="s">
        <v>1001</v>
      </c>
      <c r="R13" s="543" t="s">
        <v>1002</v>
      </c>
      <c r="S13" s="543" t="s">
        <v>1066</v>
      </c>
      <c r="T13" s="543" t="s">
        <v>1522</v>
      </c>
      <c r="U13" s="543" t="s">
        <v>1007</v>
      </c>
      <c r="V13" s="543" t="s">
        <v>1008</v>
      </c>
      <c r="W13" s="543" t="s">
        <v>1009</v>
      </c>
      <c r="X13" s="543" t="s">
        <v>183</v>
      </c>
      <c r="Y13" s="543" t="s">
        <v>594</v>
      </c>
      <c r="Z13" s="543" t="s">
        <v>1038</v>
      </c>
      <c r="AA13" s="543" t="s">
        <v>1011</v>
      </c>
      <c r="AB13" s="542">
        <v>93.06</v>
      </c>
      <c r="AC13" s="542">
        <v>0</v>
      </c>
      <c r="AD13" s="542">
        <v>0</v>
      </c>
      <c r="AE13" s="542">
        <v>107.95</v>
      </c>
    </row>
    <row r="14" spans="1:31" x14ac:dyDescent="0.25">
      <c r="A14" s="543">
        <v>1</v>
      </c>
      <c r="B14" s="543" t="s">
        <v>184</v>
      </c>
      <c r="C14" s="543" t="s">
        <v>1102</v>
      </c>
      <c r="D14" s="543" t="s">
        <v>996</v>
      </c>
      <c r="F14" s="543" t="s">
        <v>1103</v>
      </c>
      <c r="G14" s="543" t="s">
        <v>1104</v>
      </c>
      <c r="H14" s="543" t="s">
        <v>1105</v>
      </c>
      <c r="I14" s="543" t="s">
        <v>999</v>
      </c>
      <c r="J14" s="543" t="s">
        <v>1259</v>
      </c>
      <c r="K14" s="543" t="s">
        <v>1259</v>
      </c>
      <c r="L14" s="543" t="s">
        <v>996</v>
      </c>
      <c r="N14" s="543" t="s">
        <v>1260</v>
      </c>
      <c r="O14" s="543" t="s">
        <v>1106</v>
      </c>
      <c r="P14" s="543" t="s">
        <v>1107</v>
      </c>
      <c r="Q14" s="543" t="s">
        <v>1001</v>
      </c>
      <c r="R14" s="543" t="s">
        <v>1108</v>
      </c>
      <c r="S14" s="543" t="s">
        <v>1109</v>
      </c>
      <c r="T14" s="543" t="s">
        <v>1522</v>
      </c>
      <c r="U14" s="543" t="s">
        <v>1007</v>
      </c>
      <c r="V14" s="543" t="s">
        <v>1008</v>
      </c>
      <c r="W14" s="543" t="s">
        <v>1009</v>
      </c>
      <c r="X14" s="543" t="s">
        <v>183</v>
      </c>
      <c r="Y14" s="543" t="s">
        <v>594</v>
      </c>
      <c r="Z14" s="543" t="s">
        <v>1038</v>
      </c>
      <c r="AA14" s="543" t="s">
        <v>1011</v>
      </c>
      <c r="AB14" s="542">
        <v>15.86</v>
      </c>
      <c r="AC14" s="542">
        <v>0</v>
      </c>
      <c r="AD14" s="542">
        <v>0</v>
      </c>
      <c r="AE14" s="542">
        <v>18.399999999999999</v>
      </c>
    </row>
    <row r="15" spans="1:31" x14ac:dyDescent="0.25">
      <c r="A15" s="543">
        <v>1</v>
      </c>
      <c r="B15" s="543" t="s">
        <v>184</v>
      </c>
      <c r="C15" s="543" t="s">
        <v>1110</v>
      </c>
      <c r="D15" s="543" t="s">
        <v>996</v>
      </c>
      <c r="F15" s="543" t="s">
        <v>1089</v>
      </c>
      <c r="G15" s="543" t="s">
        <v>1090</v>
      </c>
      <c r="H15" s="543" t="s">
        <v>1111</v>
      </c>
      <c r="I15" s="543" t="s">
        <v>999</v>
      </c>
      <c r="J15" s="543" t="s">
        <v>1259</v>
      </c>
      <c r="K15" s="543" t="s">
        <v>1259</v>
      </c>
      <c r="L15" s="543" t="s">
        <v>996</v>
      </c>
      <c r="N15" s="543" t="s">
        <v>1260</v>
      </c>
      <c r="O15" s="543" t="s">
        <v>1092</v>
      </c>
      <c r="P15" s="543" t="s">
        <v>1093</v>
      </c>
      <c r="Q15" s="543" t="s">
        <v>1001</v>
      </c>
      <c r="R15" s="543" t="s">
        <v>1002</v>
      </c>
      <c r="S15" s="543" t="s">
        <v>1066</v>
      </c>
      <c r="T15" s="543" t="s">
        <v>1522</v>
      </c>
      <c r="U15" s="543" t="s">
        <v>1007</v>
      </c>
      <c r="V15" s="543" t="s">
        <v>1008</v>
      </c>
      <c r="W15" s="543" t="s">
        <v>1009</v>
      </c>
      <c r="X15" s="543" t="s">
        <v>183</v>
      </c>
      <c r="Y15" s="543" t="s">
        <v>594</v>
      </c>
      <c r="Z15" s="543" t="s">
        <v>1038</v>
      </c>
      <c r="AA15" s="543" t="s">
        <v>1011</v>
      </c>
      <c r="AB15" s="542">
        <v>69.62</v>
      </c>
      <c r="AC15" s="542">
        <v>0</v>
      </c>
      <c r="AD15" s="542">
        <v>0</v>
      </c>
      <c r="AE15" s="542">
        <v>80.760000000000005</v>
      </c>
    </row>
    <row r="16" spans="1:31" x14ac:dyDescent="0.25">
      <c r="A16" s="543">
        <v>1</v>
      </c>
      <c r="B16" s="543" t="s">
        <v>184</v>
      </c>
      <c r="C16" s="543" t="s">
        <v>1112</v>
      </c>
      <c r="D16" s="543" t="s">
        <v>996</v>
      </c>
      <c r="F16" s="543" t="s">
        <v>1113</v>
      </c>
      <c r="G16" s="543" t="s">
        <v>1114</v>
      </c>
      <c r="H16" s="543" t="s">
        <v>177</v>
      </c>
      <c r="I16" s="543" t="s">
        <v>999</v>
      </c>
      <c r="J16" s="543" t="s">
        <v>1259</v>
      </c>
      <c r="K16" s="543" t="s">
        <v>1259</v>
      </c>
      <c r="L16" s="543" t="s">
        <v>996</v>
      </c>
      <c r="N16" s="543" t="s">
        <v>1260</v>
      </c>
      <c r="O16" s="543" t="s">
        <v>1115</v>
      </c>
      <c r="P16" s="543" t="s">
        <v>1116</v>
      </c>
      <c r="Q16" s="543" t="s">
        <v>1001</v>
      </c>
      <c r="R16" s="543" t="s">
        <v>1002</v>
      </c>
      <c r="S16" s="543" t="s">
        <v>1066</v>
      </c>
      <c r="T16" s="543" t="s">
        <v>1522</v>
      </c>
      <c r="U16" s="543" t="s">
        <v>1007</v>
      </c>
      <c r="V16" s="543" t="s">
        <v>1008</v>
      </c>
      <c r="W16" s="543" t="s">
        <v>1009</v>
      </c>
      <c r="X16" s="543" t="s">
        <v>183</v>
      </c>
      <c r="Y16" s="543" t="s">
        <v>594</v>
      </c>
      <c r="Z16" s="543" t="s">
        <v>1038</v>
      </c>
      <c r="AA16" s="543" t="s">
        <v>1011</v>
      </c>
      <c r="AB16" s="542">
        <v>94.79</v>
      </c>
      <c r="AC16" s="542">
        <v>0</v>
      </c>
      <c r="AD16" s="542">
        <v>0</v>
      </c>
      <c r="AE16" s="542">
        <v>109.96</v>
      </c>
    </row>
    <row r="17" spans="1:33" x14ac:dyDescent="0.25">
      <c r="A17" s="543">
        <v>1</v>
      </c>
      <c r="B17" s="543" t="s">
        <v>184</v>
      </c>
      <c r="C17" s="543" t="s">
        <v>1117</v>
      </c>
      <c r="D17" s="543" t="s">
        <v>996</v>
      </c>
      <c r="F17" s="543" t="s">
        <v>1118</v>
      </c>
      <c r="G17" s="543" t="s">
        <v>1119</v>
      </c>
      <c r="H17" s="543" t="s">
        <v>1120</v>
      </c>
      <c r="I17" s="543" t="s">
        <v>999</v>
      </c>
      <c r="J17" s="543" t="s">
        <v>1259</v>
      </c>
      <c r="K17" s="543" t="s">
        <v>1259</v>
      </c>
      <c r="L17" s="543" t="s">
        <v>996</v>
      </c>
      <c r="N17" s="543" t="s">
        <v>1260</v>
      </c>
      <c r="O17" s="543" t="s">
        <v>1121</v>
      </c>
      <c r="P17" s="543" t="s">
        <v>1122</v>
      </c>
      <c r="Q17" s="543" t="s">
        <v>1001</v>
      </c>
      <c r="R17" s="543" t="s">
        <v>1050</v>
      </c>
      <c r="S17" s="543" t="s">
        <v>1123</v>
      </c>
      <c r="T17" s="543" t="s">
        <v>1522</v>
      </c>
      <c r="U17" s="543" t="s">
        <v>1007</v>
      </c>
      <c r="V17" s="543" t="s">
        <v>1008</v>
      </c>
      <c r="W17" s="543" t="s">
        <v>1009</v>
      </c>
      <c r="X17" s="543" t="s">
        <v>183</v>
      </c>
      <c r="Y17" s="543" t="s">
        <v>594</v>
      </c>
      <c r="Z17" s="543" t="s">
        <v>1038</v>
      </c>
      <c r="AA17" s="543" t="s">
        <v>1011</v>
      </c>
      <c r="AB17" s="542">
        <v>86.97</v>
      </c>
      <c r="AC17" s="542">
        <v>0</v>
      </c>
      <c r="AD17" s="542">
        <v>0</v>
      </c>
      <c r="AE17" s="542">
        <v>92.7</v>
      </c>
    </row>
    <row r="18" spans="1:33" x14ac:dyDescent="0.25">
      <c r="A18" s="543">
        <v>1</v>
      </c>
      <c r="B18" s="543" t="s">
        <v>184</v>
      </c>
      <c r="C18" s="543" t="s">
        <v>1124</v>
      </c>
      <c r="D18" s="543" t="s">
        <v>996</v>
      </c>
      <c r="F18" s="543" t="s">
        <v>1125</v>
      </c>
      <c r="G18" s="543" t="s">
        <v>1126</v>
      </c>
      <c r="H18" s="543" t="s">
        <v>1127</v>
      </c>
      <c r="I18" s="543" t="s">
        <v>999</v>
      </c>
      <c r="J18" s="543" t="s">
        <v>1259</v>
      </c>
      <c r="K18" s="543" t="s">
        <v>1259</v>
      </c>
      <c r="L18" s="543" t="s">
        <v>996</v>
      </c>
      <c r="N18" s="543" t="s">
        <v>1260</v>
      </c>
      <c r="O18" s="543" t="s">
        <v>1128</v>
      </c>
      <c r="P18" s="543" t="s">
        <v>1129</v>
      </c>
      <c r="Q18" s="543" t="s">
        <v>1001</v>
      </c>
      <c r="R18" s="543" t="s">
        <v>1130</v>
      </c>
      <c r="S18" s="543" t="s">
        <v>1131</v>
      </c>
      <c r="T18" s="543" t="s">
        <v>1522</v>
      </c>
      <c r="U18" s="543" t="s">
        <v>1007</v>
      </c>
      <c r="V18" s="543" t="s">
        <v>1008</v>
      </c>
      <c r="W18" s="543" t="s">
        <v>1009</v>
      </c>
      <c r="X18" s="543" t="s">
        <v>183</v>
      </c>
      <c r="Y18" s="543" t="s">
        <v>594</v>
      </c>
      <c r="Z18" s="543" t="s">
        <v>1038</v>
      </c>
      <c r="AA18" s="543" t="s">
        <v>1011</v>
      </c>
      <c r="AB18" s="542">
        <v>64.66</v>
      </c>
      <c r="AC18" s="542">
        <v>0</v>
      </c>
      <c r="AD18" s="542">
        <v>0</v>
      </c>
      <c r="AE18" s="542">
        <v>75</v>
      </c>
    </row>
    <row r="19" spans="1:33" x14ac:dyDescent="0.25">
      <c r="A19" s="543">
        <v>1</v>
      </c>
      <c r="B19" s="543" t="s">
        <v>184</v>
      </c>
      <c r="C19" s="543" t="s">
        <v>1132</v>
      </c>
      <c r="D19" s="543" t="s">
        <v>996</v>
      </c>
      <c r="F19" s="543" t="s">
        <v>1076</v>
      </c>
      <c r="G19" s="543" t="s">
        <v>1077</v>
      </c>
      <c r="H19" s="543" t="s">
        <v>1133</v>
      </c>
      <c r="I19" s="543" t="s">
        <v>999</v>
      </c>
      <c r="J19" s="543" t="s">
        <v>1259</v>
      </c>
      <c r="K19" s="543" t="s">
        <v>1259</v>
      </c>
      <c r="L19" s="543" t="s">
        <v>996</v>
      </c>
      <c r="N19" s="543" t="s">
        <v>1260</v>
      </c>
      <c r="O19" s="543" t="s">
        <v>1079</v>
      </c>
      <c r="P19" s="543" t="s">
        <v>1080</v>
      </c>
      <c r="Q19" s="543" t="s">
        <v>1001</v>
      </c>
      <c r="R19" s="543" t="s">
        <v>1050</v>
      </c>
      <c r="S19" s="543" t="s">
        <v>1081</v>
      </c>
      <c r="T19" s="543" t="s">
        <v>1522</v>
      </c>
      <c r="U19" s="543" t="s">
        <v>1007</v>
      </c>
      <c r="V19" s="543" t="s">
        <v>1008</v>
      </c>
      <c r="W19" s="543" t="s">
        <v>1009</v>
      </c>
      <c r="X19" s="543" t="s">
        <v>183</v>
      </c>
      <c r="Y19" s="543" t="s">
        <v>594</v>
      </c>
      <c r="Z19" s="543" t="s">
        <v>1038</v>
      </c>
      <c r="AA19" s="543" t="s">
        <v>1011</v>
      </c>
      <c r="AB19" s="542">
        <v>66.38</v>
      </c>
      <c r="AC19" s="542">
        <v>0</v>
      </c>
      <c r="AD19" s="542">
        <v>0</v>
      </c>
      <c r="AE19" s="542">
        <v>77</v>
      </c>
    </row>
    <row r="20" spans="1:33" x14ac:dyDescent="0.25">
      <c r="A20" s="543">
        <v>1</v>
      </c>
      <c r="B20" s="543" t="s">
        <v>184</v>
      </c>
      <c r="C20" s="543" t="s">
        <v>1134</v>
      </c>
      <c r="D20" s="543" t="s">
        <v>996</v>
      </c>
      <c r="F20" s="543" t="s">
        <v>1135</v>
      </c>
      <c r="G20" s="543" t="s">
        <v>1136</v>
      </c>
      <c r="H20" s="543" t="s">
        <v>1137</v>
      </c>
      <c r="I20" s="543" t="s">
        <v>999</v>
      </c>
      <c r="J20" s="543" t="s">
        <v>1259</v>
      </c>
      <c r="K20" s="543" t="s">
        <v>1259</v>
      </c>
      <c r="L20" s="543" t="s">
        <v>996</v>
      </c>
      <c r="N20" s="543" t="s">
        <v>1260</v>
      </c>
      <c r="O20" s="543" t="s">
        <v>1138</v>
      </c>
      <c r="P20" s="543" t="s">
        <v>1139</v>
      </c>
      <c r="Q20" s="543" t="s">
        <v>1001</v>
      </c>
      <c r="R20" s="543" t="s">
        <v>1002</v>
      </c>
      <c r="S20" s="543" t="s">
        <v>1081</v>
      </c>
      <c r="T20" s="543" t="s">
        <v>1522</v>
      </c>
      <c r="U20" s="543" t="s">
        <v>1007</v>
      </c>
      <c r="V20" s="543" t="s">
        <v>1008</v>
      </c>
      <c r="W20" s="543" t="s">
        <v>1009</v>
      </c>
      <c r="X20" s="543" t="s">
        <v>183</v>
      </c>
      <c r="Y20" s="543" t="s">
        <v>594</v>
      </c>
      <c r="Z20" s="543" t="s">
        <v>1038</v>
      </c>
      <c r="AA20" s="543" t="s">
        <v>1011</v>
      </c>
      <c r="AB20" s="542">
        <v>9.48</v>
      </c>
      <c r="AC20" s="542">
        <v>0</v>
      </c>
      <c r="AD20" s="542">
        <v>0</v>
      </c>
      <c r="AE20" s="542">
        <v>11</v>
      </c>
    </row>
    <row r="21" spans="1:33" x14ac:dyDescent="0.25">
      <c r="A21" s="543">
        <v>1</v>
      </c>
      <c r="B21" s="543" t="s">
        <v>184</v>
      </c>
      <c r="C21" s="543" t="s">
        <v>1140</v>
      </c>
      <c r="D21" s="543" t="s">
        <v>996</v>
      </c>
      <c r="F21" s="543" t="s">
        <v>1141</v>
      </c>
      <c r="G21" s="543" t="s">
        <v>1142</v>
      </c>
      <c r="H21" s="543" t="s">
        <v>1143</v>
      </c>
      <c r="I21" s="543" t="s">
        <v>999</v>
      </c>
      <c r="J21" s="543" t="s">
        <v>1259</v>
      </c>
      <c r="K21" s="543" t="s">
        <v>1259</v>
      </c>
      <c r="L21" s="543" t="s">
        <v>996</v>
      </c>
      <c r="N21" s="543" t="s">
        <v>1260</v>
      </c>
      <c r="O21" s="543" t="s">
        <v>1144</v>
      </c>
      <c r="P21" s="543" t="s">
        <v>1145</v>
      </c>
      <c r="Q21" s="543" t="s">
        <v>1001</v>
      </c>
      <c r="R21" s="543" t="s">
        <v>1146</v>
      </c>
      <c r="S21" s="543" t="s">
        <v>1147</v>
      </c>
      <c r="T21" s="543" t="s">
        <v>1522</v>
      </c>
      <c r="U21" s="543" t="s">
        <v>1007</v>
      </c>
      <c r="V21" s="543" t="s">
        <v>1008</v>
      </c>
      <c r="W21" s="543" t="s">
        <v>1009</v>
      </c>
      <c r="X21" s="543" t="s">
        <v>183</v>
      </c>
      <c r="Y21" s="543" t="s">
        <v>594</v>
      </c>
      <c r="Z21" s="543" t="s">
        <v>1038</v>
      </c>
      <c r="AA21" s="543" t="s">
        <v>1011</v>
      </c>
      <c r="AB21" s="542">
        <v>196.24</v>
      </c>
      <c r="AC21" s="542">
        <v>0</v>
      </c>
      <c r="AD21" s="542">
        <v>0</v>
      </c>
      <c r="AE21" s="542">
        <v>196.24</v>
      </c>
      <c r="AF21" s="544"/>
    </row>
    <row r="22" spans="1:33" ht="28.5" x14ac:dyDescent="0.45">
      <c r="A22" s="543">
        <v>1</v>
      </c>
      <c r="B22" s="543" t="s">
        <v>184</v>
      </c>
      <c r="C22" s="543" t="s">
        <v>1148</v>
      </c>
      <c r="D22" s="543" t="s">
        <v>996</v>
      </c>
      <c r="F22" s="543" t="s">
        <v>1118</v>
      </c>
      <c r="G22" s="543" t="s">
        <v>1149</v>
      </c>
      <c r="H22" s="543" t="s">
        <v>1150</v>
      </c>
      <c r="I22" s="543" t="s">
        <v>999</v>
      </c>
      <c r="J22" s="543" t="s">
        <v>1259</v>
      </c>
      <c r="K22" s="543" t="s">
        <v>1259</v>
      </c>
      <c r="L22" s="543" t="s">
        <v>996</v>
      </c>
      <c r="N22" s="543" t="s">
        <v>1260</v>
      </c>
      <c r="O22" s="543" t="s">
        <v>1151</v>
      </c>
      <c r="P22" s="543" t="s">
        <v>1152</v>
      </c>
      <c r="Q22" s="543" t="s">
        <v>1001</v>
      </c>
      <c r="R22" s="543" t="s">
        <v>1050</v>
      </c>
      <c r="S22" s="543" t="s">
        <v>1153</v>
      </c>
      <c r="T22" s="543" t="s">
        <v>1522</v>
      </c>
      <c r="U22" s="543" t="s">
        <v>1007</v>
      </c>
      <c r="V22" s="543" t="s">
        <v>1008</v>
      </c>
      <c r="W22" s="543" t="s">
        <v>1009</v>
      </c>
      <c r="X22" s="543" t="s">
        <v>183</v>
      </c>
      <c r="Y22" s="543" t="s">
        <v>594</v>
      </c>
      <c r="Z22" s="543" t="s">
        <v>1494</v>
      </c>
      <c r="AA22" s="543" t="s">
        <v>1011</v>
      </c>
      <c r="AB22" s="542">
        <v>1976.09</v>
      </c>
      <c r="AC22" s="542">
        <v>0</v>
      </c>
      <c r="AD22" s="542">
        <v>0</v>
      </c>
      <c r="AE22" s="542">
        <v>2299</v>
      </c>
      <c r="AG22" s="545"/>
    </row>
    <row r="23" spans="1:33" x14ac:dyDescent="0.25">
      <c r="A23" s="543">
        <v>1</v>
      </c>
      <c r="B23" s="543" t="s">
        <v>184</v>
      </c>
      <c r="C23" s="543" t="s">
        <v>1154</v>
      </c>
      <c r="D23" s="543" t="s">
        <v>996</v>
      </c>
      <c r="F23" s="543" t="s">
        <v>1076</v>
      </c>
      <c r="G23" s="543" t="s">
        <v>1077</v>
      </c>
      <c r="H23" s="543" t="s">
        <v>1155</v>
      </c>
      <c r="I23" s="543" t="s">
        <v>999</v>
      </c>
      <c r="J23" s="543" t="s">
        <v>1259</v>
      </c>
      <c r="K23" s="543" t="s">
        <v>1259</v>
      </c>
      <c r="L23" s="543" t="s">
        <v>996</v>
      </c>
      <c r="N23" s="543" t="s">
        <v>1260</v>
      </c>
      <c r="O23" s="543" t="s">
        <v>1079</v>
      </c>
      <c r="P23" s="543" t="s">
        <v>1080</v>
      </c>
      <c r="Q23" s="543" t="s">
        <v>1001</v>
      </c>
      <c r="R23" s="543" t="s">
        <v>1050</v>
      </c>
      <c r="S23" s="543" t="s">
        <v>1081</v>
      </c>
      <c r="T23" s="543" t="s">
        <v>1522</v>
      </c>
      <c r="U23" s="543" t="s">
        <v>1007</v>
      </c>
      <c r="V23" s="543" t="s">
        <v>1008</v>
      </c>
      <c r="W23" s="543" t="s">
        <v>1009</v>
      </c>
      <c r="X23" s="543" t="s">
        <v>183</v>
      </c>
      <c r="Y23" s="543" t="s">
        <v>594</v>
      </c>
      <c r="Z23" s="543" t="s">
        <v>1038</v>
      </c>
      <c r="AA23" s="543" t="s">
        <v>1011</v>
      </c>
      <c r="AB23" s="542">
        <v>66.38</v>
      </c>
      <c r="AC23" s="542">
        <v>0</v>
      </c>
      <c r="AD23" s="542">
        <v>0</v>
      </c>
      <c r="AE23" s="542">
        <v>77</v>
      </c>
    </row>
    <row r="24" spans="1:33" x14ac:dyDescent="0.25">
      <c r="A24" s="543">
        <v>1</v>
      </c>
      <c r="B24" s="543" t="s">
        <v>184</v>
      </c>
      <c r="C24" s="543" t="s">
        <v>1156</v>
      </c>
      <c r="D24" s="543" t="s">
        <v>996</v>
      </c>
      <c r="F24" s="543" t="s">
        <v>1125</v>
      </c>
      <c r="G24" s="543" t="s">
        <v>1126</v>
      </c>
      <c r="H24" s="543" t="s">
        <v>1157</v>
      </c>
      <c r="I24" s="543" t="s">
        <v>999</v>
      </c>
      <c r="J24" s="543" t="s">
        <v>1259</v>
      </c>
      <c r="K24" s="543" t="s">
        <v>1259</v>
      </c>
      <c r="L24" s="543" t="s">
        <v>996</v>
      </c>
      <c r="N24" s="543" t="s">
        <v>1260</v>
      </c>
      <c r="O24" s="543" t="s">
        <v>1128</v>
      </c>
      <c r="P24" s="543" t="s">
        <v>1129</v>
      </c>
      <c r="Q24" s="543" t="s">
        <v>1001</v>
      </c>
      <c r="R24" s="543" t="s">
        <v>1130</v>
      </c>
      <c r="S24" s="543" t="s">
        <v>1131</v>
      </c>
      <c r="T24" s="543" t="s">
        <v>1522</v>
      </c>
      <c r="U24" s="543" t="s">
        <v>1007</v>
      </c>
      <c r="V24" s="543" t="s">
        <v>1008</v>
      </c>
      <c r="W24" s="543" t="s">
        <v>1009</v>
      </c>
      <c r="X24" s="543" t="s">
        <v>183</v>
      </c>
      <c r="Y24" s="543" t="s">
        <v>594</v>
      </c>
      <c r="Z24" s="543" t="s">
        <v>1038</v>
      </c>
      <c r="AA24" s="543" t="s">
        <v>1011</v>
      </c>
      <c r="AB24" s="542">
        <v>68.97</v>
      </c>
      <c r="AC24" s="542">
        <v>0</v>
      </c>
      <c r="AD24" s="542">
        <v>0</v>
      </c>
      <c r="AE24" s="542">
        <v>80</v>
      </c>
    </row>
    <row r="25" spans="1:33" x14ac:dyDescent="0.25">
      <c r="A25" s="543">
        <v>1</v>
      </c>
      <c r="B25" s="543" t="s">
        <v>184</v>
      </c>
      <c r="C25" s="543" t="s">
        <v>1158</v>
      </c>
      <c r="D25" s="543" t="s">
        <v>996</v>
      </c>
      <c r="F25" s="543" t="s">
        <v>1159</v>
      </c>
      <c r="G25" s="543" t="s">
        <v>1160</v>
      </c>
      <c r="H25" s="543" t="s">
        <v>1161</v>
      </c>
      <c r="I25" s="543" t="s">
        <v>999</v>
      </c>
      <c r="J25" s="543" t="s">
        <v>1259</v>
      </c>
      <c r="K25" s="543" t="s">
        <v>1259</v>
      </c>
      <c r="L25" s="543" t="s">
        <v>996</v>
      </c>
      <c r="N25" s="543" t="s">
        <v>1260</v>
      </c>
      <c r="O25" s="543" t="s">
        <v>1162</v>
      </c>
      <c r="P25" s="543" t="s">
        <v>1163</v>
      </c>
      <c r="Q25" s="543" t="s">
        <v>1001</v>
      </c>
      <c r="R25" s="543" t="s">
        <v>1164</v>
      </c>
      <c r="S25" s="543" t="s">
        <v>1165</v>
      </c>
      <c r="T25" s="543" t="s">
        <v>1522</v>
      </c>
      <c r="U25" s="543" t="s">
        <v>1007</v>
      </c>
      <c r="V25" s="543" t="s">
        <v>1008</v>
      </c>
      <c r="W25" s="543" t="s">
        <v>1009</v>
      </c>
      <c r="X25" s="543" t="s">
        <v>183</v>
      </c>
      <c r="Y25" s="543" t="s">
        <v>594</v>
      </c>
      <c r="Z25" s="543" t="s">
        <v>1038</v>
      </c>
      <c r="AA25" s="543" t="s">
        <v>1011</v>
      </c>
      <c r="AB25" s="542">
        <v>359.48</v>
      </c>
      <c r="AC25" s="542">
        <v>0</v>
      </c>
      <c r="AD25" s="542">
        <v>0</v>
      </c>
      <c r="AE25" s="542">
        <v>417</v>
      </c>
    </row>
    <row r="26" spans="1:33" x14ac:dyDescent="0.25">
      <c r="A26" s="543">
        <v>1</v>
      </c>
      <c r="B26" s="543" t="s">
        <v>184</v>
      </c>
      <c r="C26" s="543" t="s">
        <v>1166</v>
      </c>
      <c r="D26" s="543" t="s">
        <v>1112</v>
      </c>
      <c r="E26" s="543" t="s">
        <v>1074</v>
      </c>
      <c r="F26" s="543" t="s">
        <v>1113</v>
      </c>
      <c r="G26" s="543" t="s">
        <v>1167</v>
      </c>
      <c r="H26" s="543" t="s">
        <v>594</v>
      </c>
      <c r="I26" s="543" t="s">
        <v>1168</v>
      </c>
      <c r="J26" s="543" t="s">
        <v>1259</v>
      </c>
      <c r="K26" s="543" t="s">
        <v>1259</v>
      </c>
      <c r="L26" s="543" t="s">
        <v>996</v>
      </c>
      <c r="N26" s="543" t="s">
        <v>1260</v>
      </c>
      <c r="O26" s="543" t="s">
        <v>1115</v>
      </c>
      <c r="P26" s="543" t="s">
        <v>1116</v>
      </c>
      <c r="Q26" s="543" t="s">
        <v>1001</v>
      </c>
      <c r="R26" s="543" t="s">
        <v>1002</v>
      </c>
      <c r="S26" s="543" t="s">
        <v>1066</v>
      </c>
      <c r="T26" s="543" t="s">
        <v>1522</v>
      </c>
      <c r="U26" s="543" t="s">
        <v>1007</v>
      </c>
      <c r="V26" s="543" t="s">
        <v>1169</v>
      </c>
      <c r="W26" s="543" t="s">
        <v>1009</v>
      </c>
      <c r="X26" s="543" t="s">
        <v>183</v>
      </c>
      <c r="Y26" s="543" t="s">
        <v>594</v>
      </c>
      <c r="Z26" s="543" t="s">
        <v>1038</v>
      </c>
      <c r="AA26" s="543" t="s">
        <v>1011</v>
      </c>
      <c r="AB26" s="542">
        <v>-94.79</v>
      </c>
      <c r="AC26" s="542">
        <v>0</v>
      </c>
      <c r="AD26" s="542">
        <v>0</v>
      </c>
      <c r="AE26" s="542">
        <v>-109.96</v>
      </c>
    </row>
    <row r="27" spans="1:33" x14ac:dyDescent="0.25">
      <c r="A27" s="543">
        <v>1</v>
      </c>
      <c r="B27" s="543" t="s">
        <v>184</v>
      </c>
      <c r="C27" s="543" t="s">
        <v>1170</v>
      </c>
      <c r="D27" s="543" t="s">
        <v>996</v>
      </c>
      <c r="F27" s="543" t="s">
        <v>1113</v>
      </c>
      <c r="G27" s="543" t="s">
        <v>1114</v>
      </c>
      <c r="H27" s="543" t="s">
        <v>277</v>
      </c>
      <c r="I27" s="543" t="s">
        <v>999</v>
      </c>
      <c r="J27" s="543" t="s">
        <v>1259</v>
      </c>
      <c r="K27" s="543" t="s">
        <v>1259</v>
      </c>
      <c r="L27" s="543" t="s">
        <v>996</v>
      </c>
      <c r="N27" s="543" t="s">
        <v>1260</v>
      </c>
      <c r="O27" s="543" t="s">
        <v>1115</v>
      </c>
      <c r="P27" s="543" t="s">
        <v>1116</v>
      </c>
      <c r="Q27" s="543" t="s">
        <v>1001</v>
      </c>
      <c r="R27" s="543" t="s">
        <v>1002</v>
      </c>
      <c r="S27" s="543" t="s">
        <v>1066</v>
      </c>
      <c r="T27" s="543" t="s">
        <v>1522</v>
      </c>
      <c r="U27" s="543" t="s">
        <v>1007</v>
      </c>
      <c r="V27" s="543" t="s">
        <v>1008</v>
      </c>
      <c r="W27" s="543" t="s">
        <v>1009</v>
      </c>
      <c r="X27" s="543" t="s">
        <v>183</v>
      </c>
      <c r="Y27" s="543" t="s">
        <v>594</v>
      </c>
      <c r="Z27" s="543" t="s">
        <v>1038</v>
      </c>
      <c r="AA27" s="543" t="s">
        <v>1011</v>
      </c>
      <c r="AB27" s="542">
        <v>108.59</v>
      </c>
      <c r="AC27" s="542">
        <v>0</v>
      </c>
      <c r="AD27" s="542">
        <v>0</v>
      </c>
      <c r="AE27" s="542">
        <v>125.96</v>
      </c>
    </row>
    <row r="28" spans="1:33" x14ac:dyDescent="0.25">
      <c r="A28" s="543">
        <v>1</v>
      </c>
      <c r="B28" s="543" t="s">
        <v>184</v>
      </c>
      <c r="C28" s="543" t="s">
        <v>1171</v>
      </c>
      <c r="D28" s="543" t="s">
        <v>996</v>
      </c>
      <c r="F28" s="543" t="s">
        <v>997</v>
      </c>
      <c r="H28" s="543" t="s">
        <v>1172</v>
      </c>
      <c r="I28" s="543" t="s">
        <v>999</v>
      </c>
      <c r="J28" s="543" t="s">
        <v>1259</v>
      </c>
      <c r="K28" s="543" t="s">
        <v>1259</v>
      </c>
      <c r="L28" s="543" t="s">
        <v>996</v>
      </c>
      <c r="N28" s="543" t="s">
        <v>1260</v>
      </c>
      <c r="O28" s="543" t="s">
        <v>1173</v>
      </c>
      <c r="P28" s="543" t="s">
        <v>1174</v>
      </c>
      <c r="Q28" s="543" t="s">
        <v>1001</v>
      </c>
      <c r="R28" s="543" t="s">
        <v>1002</v>
      </c>
      <c r="S28" s="543" t="s">
        <v>1175</v>
      </c>
      <c r="T28" s="543" t="s">
        <v>1522</v>
      </c>
      <c r="U28" s="543" t="s">
        <v>1007</v>
      </c>
      <c r="V28" s="543" t="s">
        <v>1008</v>
      </c>
      <c r="W28" s="543" t="s">
        <v>1009</v>
      </c>
      <c r="X28" s="543" t="s">
        <v>183</v>
      </c>
      <c r="Y28" s="543" t="s">
        <v>594</v>
      </c>
      <c r="Z28" s="543" t="s">
        <v>1038</v>
      </c>
      <c r="AA28" s="543" t="s">
        <v>1011</v>
      </c>
      <c r="AB28" s="542">
        <v>6308.7</v>
      </c>
      <c r="AC28" s="542">
        <v>0</v>
      </c>
      <c r="AD28" s="542">
        <v>0</v>
      </c>
      <c r="AE28" s="542">
        <v>5562.1</v>
      </c>
    </row>
    <row r="29" spans="1:33" x14ac:dyDescent="0.25">
      <c r="A29" s="543">
        <v>1</v>
      </c>
      <c r="B29" s="543" t="s">
        <v>184</v>
      </c>
      <c r="C29" s="543" t="s">
        <v>1176</v>
      </c>
      <c r="D29" s="543" t="s">
        <v>996</v>
      </c>
      <c r="F29" s="543" t="s">
        <v>1177</v>
      </c>
      <c r="G29" s="543" t="s">
        <v>1178</v>
      </c>
      <c r="H29" s="543" t="s">
        <v>1179</v>
      </c>
      <c r="I29" s="543" t="s">
        <v>999</v>
      </c>
      <c r="J29" s="543" t="s">
        <v>1259</v>
      </c>
      <c r="K29" s="543" t="s">
        <v>1259</v>
      </c>
      <c r="L29" s="543" t="s">
        <v>996</v>
      </c>
      <c r="N29" s="543" t="s">
        <v>1260</v>
      </c>
      <c r="O29" s="543" t="s">
        <v>1180</v>
      </c>
      <c r="P29" s="543" t="s">
        <v>1181</v>
      </c>
      <c r="Q29" s="543" t="s">
        <v>1001</v>
      </c>
      <c r="R29" s="543" t="s">
        <v>1002</v>
      </c>
      <c r="S29" s="543" t="s">
        <v>1066</v>
      </c>
      <c r="T29" s="543" t="s">
        <v>1522</v>
      </c>
      <c r="U29" s="543" t="s">
        <v>1007</v>
      </c>
      <c r="V29" s="543" t="s">
        <v>1008</v>
      </c>
      <c r="W29" s="543" t="s">
        <v>1009</v>
      </c>
      <c r="X29" s="543" t="s">
        <v>183</v>
      </c>
      <c r="Y29" s="543" t="s">
        <v>594</v>
      </c>
      <c r="Z29" s="543" t="s">
        <v>1038</v>
      </c>
      <c r="AA29" s="543" t="s">
        <v>1011</v>
      </c>
      <c r="AB29" s="542">
        <v>87.61</v>
      </c>
      <c r="AC29" s="542">
        <v>0</v>
      </c>
      <c r="AD29" s="542">
        <v>0</v>
      </c>
      <c r="AE29" s="542">
        <v>101.63</v>
      </c>
    </row>
    <row r="30" spans="1:33" x14ac:dyDescent="0.25">
      <c r="A30" s="543">
        <v>1</v>
      </c>
      <c r="B30" s="543" t="s">
        <v>184</v>
      </c>
      <c r="C30" s="543" t="s">
        <v>1182</v>
      </c>
      <c r="D30" s="543" t="s">
        <v>996</v>
      </c>
      <c r="F30" s="543" t="s">
        <v>1089</v>
      </c>
      <c r="G30" s="543" t="s">
        <v>1090</v>
      </c>
      <c r="H30" s="543" t="s">
        <v>1183</v>
      </c>
      <c r="I30" s="543" t="s">
        <v>999</v>
      </c>
      <c r="J30" s="543" t="s">
        <v>1259</v>
      </c>
      <c r="K30" s="543" t="s">
        <v>1259</v>
      </c>
      <c r="L30" s="543" t="s">
        <v>996</v>
      </c>
      <c r="N30" s="543" t="s">
        <v>1260</v>
      </c>
      <c r="O30" s="543" t="s">
        <v>1092</v>
      </c>
      <c r="P30" s="543" t="s">
        <v>1093</v>
      </c>
      <c r="Q30" s="543" t="s">
        <v>1001</v>
      </c>
      <c r="R30" s="543" t="s">
        <v>1002</v>
      </c>
      <c r="S30" s="543" t="s">
        <v>1066</v>
      </c>
      <c r="T30" s="543" t="s">
        <v>1522</v>
      </c>
      <c r="U30" s="543" t="s">
        <v>1007</v>
      </c>
      <c r="V30" s="543" t="s">
        <v>1008</v>
      </c>
      <c r="W30" s="543" t="s">
        <v>1009</v>
      </c>
      <c r="X30" s="543" t="s">
        <v>183</v>
      </c>
      <c r="Y30" s="543" t="s">
        <v>594</v>
      </c>
      <c r="Z30" s="543" t="s">
        <v>1038</v>
      </c>
      <c r="AA30" s="543" t="s">
        <v>1011</v>
      </c>
      <c r="AB30" s="542">
        <v>87.64</v>
      </c>
      <c r="AC30" s="542">
        <v>0</v>
      </c>
      <c r="AD30" s="542">
        <v>0</v>
      </c>
      <c r="AE30" s="542">
        <v>101.66</v>
      </c>
    </row>
    <row r="31" spans="1:33" x14ac:dyDescent="0.25">
      <c r="A31" s="543">
        <v>1</v>
      </c>
      <c r="B31" s="543" t="s">
        <v>184</v>
      </c>
      <c r="C31" s="543" t="s">
        <v>1184</v>
      </c>
      <c r="D31" s="543" t="s">
        <v>996</v>
      </c>
      <c r="F31" s="543" t="s">
        <v>1185</v>
      </c>
      <c r="G31" s="543" t="s">
        <v>1186</v>
      </c>
      <c r="H31" s="543" t="s">
        <v>1187</v>
      </c>
      <c r="I31" s="543" t="s">
        <v>999</v>
      </c>
      <c r="J31" s="543" t="s">
        <v>1259</v>
      </c>
      <c r="K31" s="543" t="s">
        <v>1259</v>
      </c>
      <c r="L31" s="543" t="s">
        <v>996</v>
      </c>
      <c r="N31" s="543" t="s">
        <v>1260</v>
      </c>
      <c r="O31" s="543" t="s">
        <v>1188</v>
      </c>
      <c r="P31" s="543" t="s">
        <v>1189</v>
      </c>
      <c r="Q31" s="543" t="s">
        <v>1001</v>
      </c>
      <c r="R31" s="543" t="s">
        <v>1190</v>
      </c>
      <c r="S31" s="543" t="s">
        <v>1066</v>
      </c>
      <c r="T31" s="543" t="s">
        <v>1522</v>
      </c>
      <c r="U31" s="543" t="s">
        <v>1007</v>
      </c>
      <c r="V31" s="543" t="s">
        <v>1008</v>
      </c>
      <c r="W31" s="543" t="s">
        <v>1009</v>
      </c>
      <c r="X31" s="543" t="s">
        <v>183</v>
      </c>
      <c r="Y31" s="543" t="s">
        <v>594</v>
      </c>
      <c r="Z31" s="543" t="s">
        <v>1038</v>
      </c>
      <c r="AA31" s="543" t="s">
        <v>1011</v>
      </c>
      <c r="AB31" s="542">
        <v>34.6</v>
      </c>
      <c r="AC31" s="542">
        <v>0</v>
      </c>
      <c r="AD31" s="542">
        <v>0</v>
      </c>
      <c r="AE31" s="542">
        <v>40.14</v>
      </c>
    </row>
    <row r="32" spans="1:33" x14ac:dyDescent="0.25">
      <c r="A32" s="543">
        <v>1</v>
      </c>
      <c r="B32" s="543" t="s">
        <v>184</v>
      </c>
      <c r="C32" s="543" t="s">
        <v>1191</v>
      </c>
      <c r="D32" s="543" t="s">
        <v>996</v>
      </c>
      <c r="F32" s="543" t="s">
        <v>1192</v>
      </c>
      <c r="G32" s="543" t="s">
        <v>1193</v>
      </c>
      <c r="H32" s="543" t="s">
        <v>1194</v>
      </c>
      <c r="I32" s="543" t="s">
        <v>999</v>
      </c>
      <c r="J32" s="543" t="s">
        <v>1259</v>
      </c>
      <c r="K32" s="543" t="s">
        <v>1259</v>
      </c>
      <c r="L32" s="543" t="s">
        <v>996</v>
      </c>
      <c r="N32" s="543" t="s">
        <v>1260</v>
      </c>
      <c r="O32" s="543" t="s">
        <v>1195</v>
      </c>
      <c r="P32" s="543" t="s">
        <v>1196</v>
      </c>
      <c r="Q32" s="543" t="s">
        <v>1001</v>
      </c>
      <c r="R32" s="543" t="s">
        <v>1002</v>
      </c>
      <c r="S32" s="543" t="s">
        <v>1197</v>
      </c>
      <c r="T32" s="543" t="s">
        <v>1522</v>
      </c>
      <c r="U32" s="543" t="s">
        <v>1007</v>
      </c>
      <c r="V32" s="543" t="s">
        <v>1008</v>
      </c>
      <c r="W32" s="543" t="s">
        <v>1009</v>
      </c>
      <c r="X32" s="543" t="s">
        <v>183</v>
      </c>
      <c r="Y32" s="543" t="s">
        <v>594</v>
      </c>
      <c r="Z32" s="543" t="s">
        <v>1038</v>
      </c>
      <c r="AA32" s="543" t="s">
        <v>1011</v>
      </c>
      <c r="AB32" s="542">
        <v>542.63</v>
      </c>
      <c r="AC32" s="542">
        <v>0</v>
      </c>
      <c r="AD32" s="542">
        <v>0</v>
      </c>
      <c r="AE32" s="542">
        <v>627.12</v>
      </c>
    </row>
    <row r="33" spans="1:31" x14ac:dyDescent="0.25">
      <c r="A33" s="543">
        <v>1</v>
      </c>
      <c r="B33" s="543" t="s">
        <v>184</v>
      </c>
      <c r="C33" s="543" t="s">
        <v>1198</v>
      </c>
      <c r="D33" s="543" t="s">
        <v>996</v>
      </c>
      <c r="F33" s="543" t="s">
        <v>1192</v>
      </c>
      <c r="G33" s="543" t="s">
        <v>1193</v>
      </c>
      <c r="H33" s="543" t="s">
        <v>1199</v>
      </c>
      <c r="I33" s="543" t="s">
        <v>999</v>
      </c>
      <c r="J33" s="543" t="s">
        <v>1259</v>
      </c>
      <c r="K33" s="543" t="s">
        <v>1259</v>
      </c>
      <c r="L33" s="543" t="s">
        <v>996</v>
      </c>
      <c r="N33" s="543" t="s">
        <v>1260</v>
      </c>
      <c r="O33" s="543" t="s">
        <v>1195</v>
      </c>
      <c r="P33" s="543" t="s">
        <v>1196</v>
      </c>
      <c r="Q33" s="543" t="s">
        <v>1001</v>
      </c>
      <c r="R33" s="543" t="s">
        <v>1002</v>
      </c>
      <c r="S33" s="543" t="s">
        <v>1197</v>
      </c>
      <c r="T33" s="543" t="s">
        <v>1522</v>
      </c>
      <c r="U33" s="543" t="s">
        <v>1007</v>
      </c>
      <c r="V33" s="543" t="s">
        <v>1008</v>
      </c>
      <c r="W33" s="543" t="s">
        <v>1009</v>
      </c>
      <c r="X33" s="543" t="s">
        <v>183</v>
      </c>
      <c r="Y33" s="543" t="s">
        <v>594</v>
      </c>
      <c r="Z33" s="543" t="s">
        <v>1038</v>
      </c>
      <c r="AA33" s="543" t="s">
        <v>1011</v>
      </c>
      <c r="AB33" s="542">
        <v>846.52</v>
      </c>
      <c r="AC33" s="542">
        <v>0</v>
      </c>
      <c r="AD33" s="542">
        <v>0</v>
      </c>
      <c r="AE33" s="542">
        <v>977.95</v>
      </c>
    </row>
    <row r="34" spans="1:31" x14ac:dyDescent="0.25">
      <c r="A34" s="543">
        <v>1</v>
      </c>
      <c r="B34" s="543" t="s">
        <v>184</v>
      </c>
      <c r="C34" s="543" t="s">
        <v>1200</v>
      </c>
      <c r="D34" s="543" t="s">
        <v>996</v>
      </c>
      <c r="F34" s="543" t="s">
        <v>1068</v>
      </c>
      <c r="G34" s="543" t="s">
        <v>1201</v>
      </c>
      <c r="H34" s="543" t="s">
        <v>1202</v>
      </c>
      <c r="I34" s="543" t="s">
        <v>999</v>
      </c>
      <c r="J34" s="543" t="s">
        <v>1259</v>
      </c>
      <c r="K34" s="543" t="s">
        <v>1259</v>
      </c>
      <c r="L34" s="543" t="s">
        <v>996</v>
      </c>
      <c r="N34" s="543" t="s">
        <v>1260</v>
      </c>
      <c r="O34" s="543" t="s">
        <v>1203</v>
      </c>
      <c r="P34" s="543" t="s">
        <v>1204</v>
      </c>
      <c r="Q34" s="543" t="s">
        <v>1001</v>
      </c>
      <c r="R34" s="543" t="s">
        <v>1164</v>
      </c>
      <c r="S34" s="543" t="s">
        <v>1205</v>
      </c>
      <c r="T34" s="543" t="s">
        <v>1522</v>
      </c>
      <c r="U34" s="543" t="s">
        <v>1007</v>
      </c>
      <c r="V34" s="543" t="s">
        <v>1008</v>
      </c>
      <c r="W34" s="543" t="s">
        <v>1009</v>
      </c>
      <c r="X34" s="543" t="s">
        <v>183</v>
      </c>
      <c r="Y34" s="543" t="s">
        <v>594</v>
      </c>
      <c r="Z34" s="543" t="s">
        <v>1038</v>
      </c>
      <c r="AA34" s="543" t="s">
        <v>1011</v>
      </c>
      <c r="AB34" s="542">
        <v>262.8</v>
      </c>
      <c r="AC34" s="542">
        <v>0</v>
      </c>
      <c r="AD34" s="542">
        <v>0</v>
      </c>
      <c r="AE34" s="542">
        <v>304.85000000000002</v>
      </c>
    </row>
    <row r="35" spans="1:31" x14ac:dyDescent="0.25">
      <c r="A35" s="543">
        <v>1</v>
      </c>
      <c r="B35" s="543" t="s">
        <v>184</v>
      </c>
      <c r="C35" s="543" t="s">
        <v>1206</v>
      </c>
      <c r="D35" s="543" t="s">
        <v>996</v>
      </c>
      <c r="F35" s="543" t="s">
        <v>1068</v>
      </c>
      <c r="G35" s="543" t="s">
        <v>1201</v>
      </c>
      <c r="H35" s="543" t="s">
        <v>1207</v>
      </c>
      <c r="I35" s="543" t="s">
        <v>999</v>
      </c>
      <c r="J35" s="543" t="s">
        <v>1259</v>
      </c>
      <c r="K35" s="543" t="s">
        <v>1259</v>
      </c>
      <c r="L35" s="543" t="s">
        <v>996</v>
      </c>
      <c r="N35" s="543" t="s">
        <v>1260</v>
      </c>
      <c r="O35" s="543" t="s">
        <v>1203</v>
      </c>
      <c r="P35" s="543" t="s">
        <v>1204</v>
      </c>
      <c r="Q35" s="543" t="s">
        <v>1001</v>
      </c>
      <c r="R35" s="543" t="s">
        <v>1164</v>
      </c>
      <c r="S35" s="543" t="s">
        <v>1208</v>
      </c>
      <c r="T35" s="543" t="s">
        <v>1522</v>
      </c>
      <c r="U35" s="543" t="s">
        <v>1007</v>
      </c>
      <c r="V35" s="543" t="s">
        <v>1008</v>
      </c>
      <c r="W35" s="543" t="s">
        <v>1009</v>
      </c>
      <c r="X35" s="543" t="s">
        <v>183</v>
      </c>
      <c r="Y35" s="543" t="s">
        <v>594</v>
      </c>
      <c r="Z35" s="543" t="s">
        <v>1038</v>
      </c>
      <c r="AA35" s="543" t="s">
        <v>1011</v>
      </c>
      <c r="AB35" s="542">
        <v>130.34</v>
      </c>
      <c r="AC35" s="542">
        <v>0</v>
      </c>
      <c r="AD35" s="542">
        <v>0</v>
      </c>
      <c r="AE35" s="542">
        <v>151.19999999999999</v>
      </c>
    </row>
    <row r="36" spans="1:31" x14ac:dyDescent="0.25">
      <c r="A36" s="543">
        <v>1</v>
      </c>
      <c r="B36" s="543" t="s">
        <v>184</v>
      </c>
      <c r="C36" s="543" t="s">
        <v>1209</v>
      </c>
      <c r="D36" s="543" t="s">
        <v>996</v>
      </c>
      <c r="F36" s="543" t="s">
        <v>1068</v>
      </c>
      <c r="G36" s="543" t="s">
        <v>1201</v>
      </c>
      <c r="H36" s="543" t="s">
        <v>1210</v>
      </c>
      <c r="I36" s="543" t="s">
        <v>999</v>
      </c>
      <c r="J36" s="543" t="s">
        <v>1259</v>
      </c>
      <c r="K36" s="543" t="s">
        <v>1259</v>
      </c>
      <c r="L36" s="543" t="s">
        <v>996</v>
      </c>
      <c r="N36" s="543" t="s">
        <v>1260</v>
      </c>
      <c r="O36" s="543" t="s">
        <v>1203</v>
      </c>
      <c r="P36" s="543" t="s">
        <v>1204</v>
      </c>
      <c r="Q36" s="543" t="s">
        <v>1001</v>
      </c>
      <c r="R36" s="543" t="s">
        <v>1164</v>
      </c>
      <c r="S36" s="543" t="s">
        <v>1211</v>
      </c>
      <c r="T36" s="543" t="s">
        <v>1522</v>
      </c>
      <c r="U36" s="543" t="s">
        <v>1007</v>
      </c>
      <c r="V36" s="543" t="s">
        <v>1008</v>
      </c>
      <c r="W36" s="543" t="s">
        <v>1009</v>
      </c>
      <c r="X36" s="543" t="s">
        <v>183</v>
      </c>
      <c r="Y36" s="543" t="s">
        <v>594</v>
      </c>
      <c r="Z36" s="543" t="s">
        <v>1038</v>
      </c>
      <c r="AA36" s="543" t="s">
        <v>1011</v>
      </c>
      <c r="AB36" s="542">
        <v>263.79000000000002</v>
      </c>
      <c r="AC36" s="542">
        <v>0</v>
      </c>
      <c r="AD36" s="542">
        <v>0</v>
      </c>
      <c r="AE36" s="542">
        <v>306</v>
      </c>
    </row>
    <row r="37" spans="1:31" x14ac:dyDescent="0.25">
      <c r="A37" s="543">
        <v>1</v>
      </c>
      <c r="B37" s="543" t="s">
        <v>184</v>
      </c>
      <c r="C37" s="543" t="s">
        <v>1212</v>
      </c>
      <c r="D37" s="543" t="s">
        <v>996</v>
      </c>
      <c r="F37" s="543" t="s">
        <v>1213</v>
      </c>
      <c r="H37" s="543" t="s">
        <v>1214</v>
      </c>
      <c r="I37" s="543" t="s">
        <v>999</v>
      </c>
      <c r="J37" s="543" t="s">
        <v>1259</v>
      </c>
      <c r="K37" s="543" t="s">
        <v>1259</v>
      </c>
      <c r="L37" s="543" t="s">
        <v>996</v>
      </c>
      <c r="N37" s="543" t="s">
        <v>1260</v>
      </c>
      <c r="O37" s="543" t="s">
        <v>1215</v>
      </c>
      <c r="P37" s="543" t="s">
        <v>1216</v>
      </c>
      <c r="Q37" s="543" t="s">
        <v>1001</v>
      </c>
      <c r="R37" s="543" t="s">
        <v>1002</v>
      </c>
      <c r="S37" s="543" t="s">
        <v>1042</v>
      </c>
      <c r="T37" s="543" t="s">
        <v>1522</v>
      </c>
      <c r="U37" s="543" t="s">
        <v>1007</v>
      </c>
      <c r="V37" s="543" t="s">
        <v>1008</v>
      </c>
      <c r="W37" s="543" t="s">
        <v>1009</v>
      </c>
      <c r="X37" s="543" t="s">
        <v>183</v>
      </c>
      <c r="Y37" s="543" t="s">
        <v>594</v>
      </c>
      <c r="Z37" s="543" t="s">
        <v>1038</v>
      </c>
      <c r="AA37" s="543" t="s">
        <v>1011</v>
      </c>
      <c r="AB37" s="542">
        <v>19587</v>
      </c>
      <c r="AC37" s="542">
        <v>0</v>
      </c>
      <c r="AD37" s="542">
        <v>0</v>
      </c>
      <c r="AE37" s="542">
        <v>25000</v>
      </c>
    </row>
    <row r="38" spans="1:31" x14ac:dyDescent="0.25">
      <c r="A38" s="543">
        <v>1</v>
      </c>
      <c r="B38" s="543" t="s">
        <v>184</v>
      </c>
      <c r="C38" s="543" t="s">
        <v>1217</v>
      </c>
      <c r="D38" s="543" t="s">
        <v>996</v>
      </c>
      <c r="F38" s="543" t="s">
        <v>1089</v>
      </c>
      <c r="G38" s="543" t="s">
        <v>1090</v>
      </c>
      <c r="H38" s="543" t="s">
        <v>1218</v>
      </c>
      <c r="I38" s="543" t="s">
        <v>999</v>
      </c>
      <c r="J38" s="543" t="s">
        <v>1259</v>
      </c>
      <c r="K38" s="543" t="s">
        <v>1259</v>
      </c>
      <c r="L38" s="543" t="s">
        <v>996</v>
      </c>
      <c r="N38" s="543" t="s">
        <v>1260</v>
      </c>
      <c r="O38" s="543" t="s">
        <v>1092</v>
      </c>
      <c r="P38" s="543" t="s">
        <v>1093</v>
      </c>
      <c r="Q38" s="543" t="s">
        <v>1001</v>
      </c>
      <c r="R38" s="543" t="s">
        <v>1190</v>
      </c>
      <c r="S38" s="543" t="s">
        <v>1066</v>
      </c>
      <c r="T38" s="543" t="s">
        <v>1522</v>
      </c>
      <c r="U38" s="543" t="s">
        <v>1007</v>
      </c>
      <c r="V38" s="543" t="s">
        <v>1008</v>
      </c>
      <c r="W38" s="543" t="s">
        <v>1009</v>
      </c>
      <c r="X38" s="543" t="s">
        <v>183</v>
      </c>
      <c r="Y38" s="543" t="s">
        <v>594</v>
      </c>
      <c r="Z38" s="543" t="s">
        <v>1038</v>
      </c>
      <c r="AA38" s="543" t="s">
        <v>1011</v>
      </c>
      <c r="AB38" s="542">
        <v>154.33000000000001</v>
      </c>
      <c r="AC38" s="542">
        <v>0</v>
      </c>
      <c r="AD38" s="542">
        <v>0</v>
      </c>
      <c r="AE38" s="542">
        <v>179.02</v>
      </c>
    </row>
    <row r="39" spans="1:31" x14ac:dyDescent="0.25">
      <c r="A39" s="543">
        <v>1</v>
      </c>
      <c r="B39" s="543" t="s">
        <v>184</v>
      </c>
      <c r="C39" s="543" t="s">
        <v>1219</v>
      </c>
      <c r="D39" s="543" t="s">
        <v>996</v>
      </c>
      <c r="F39" s="543" t="s">
        <v>1068</v>
      </c>
      <c r="G39" s="543" t="s">
        <v>999</v>
      </c>
      <c r="H39" s="543" t="s">
        <v>1220</v>
      </c>
      <c r="I39" s="543" t="s">
        <v>999</v>
      </c>
      <c r="J39" s="543" t="s">
        <v>1259</v>
      </c>
      <c r="K39" s="543" t="s">
        <v>1259</v>
      </c>
      <c r="L39" s="543" t="s">
        <v>996</v>
      </c>
      <c r="N39" s="543" t="s">
        <v>1260</v>
      </c>
      <c r="O39" s="543" t="s">
        <v>1221</v>
      </c>
      <c r="P39" s="543" t="s">
        <v>1222</v>
      </c>
      <c r="Q39" s="543" t="s">
        <v>1001</v>
      </c>
      <c r="R39" s="543" t="s">
        <v>1002</v>
      </c>
      <c r="S39" s="543" t="s">
        <v>1165</v>
      </c>
      <c r="T39" s="543" t="s">
        <v>1522</v>
      </c>
      <c r="U39" s="543" t="s">
        <v>1007</v>
      </c>
      <c r="V39" s="543" t="s">
        <v>1008</v>
      </c>
      <c r="W39" s="543" t="s">
        <v>1009</v>
      </c>
      <c r="X39" s="543" t="s">
        <v>183</v>
      </c>
      <c r="Y39" s="543" t="s">
        <v>594</v>
      </c>
      <c r="Z39" s="543" t="s">
        <v>1038</v>
      </c>
      <c r="AA39" s="543" t="s">
        <v>1011</v>
      </c>
      <c r="AB39" s="542">
        <v>146.55000000000001</v>
      </c>
      <c r="AC39" s="542">
        <v>0</v>
      </c>
      <c r="AD39" s="542">
        <v>0</v>
      </c>
      <c r="AE39" s="542">
        <v>1330</v>
      </c>
    </row>
    <row r="40" spans="1:31" x14ac:dyDescent="0.25">
      <c r="A40" s="543">
        <v>1</v>
      </c>
      <c r="B40" s="543" t="s">
        <v>184</v>
      </c>
      <c r="C40" s="543" t="s">
        <v>1223</v>
      </c>
      <c r="D40" s="543" t="s">
        <v>996</v>
      </c>
      <c r="F40" s="543" t="s">
        <v>1224</v>
      </c>
      <c r="G40" s="543" t="s">
        <v>1225</v>
      </c>
      <c r="H40" s="543" t="s">
        <v>1226</v>
      </c>
      <c r="I40" s="543" t="s">
        <v>999</v>
      </c>
      <c r="J40" s="543" t="s">
        <v>1259</v>
      </c>
      <c r="K40" s="543" t="s">
        <v>1259</v>
      </c>
      <c r="L40" s="543" t="s">
        <v>996</v>
      </c>
      <c r="N40" s="543" t="s">
        <v>1260</v>
      </c>
      <c r="O40" s="543" t="s">
        <v>1227</v>
      </c>
      <c r="P40" s="543" t="s">
        <v>1228</v>
      </c>
      <c r="Q40" s="543" t="s">
        <v>1001</v>
      </c>
      <c r="R40" s="543" t="s">
        <v>1002</v>
      </c>
      <c r="S40" s="543" t="s">
        <v>1066</v>
      </c>
      <c r="T40" s="543" t="s">
        <v>1522</v>
      </c>
      <c r="U40" s="543" t="s">
        <v>1007</v>
      </c>
      <c r="V40" s="543" t="s">
        <v>1008</v>
      </c>
      <c r="W40" s="543" t="s">
        <v>1009</v>
      </c>
      <c r="X40" s="543" t="s">
        <v>183</v>
      </c>
      <c r="Y40" s="543" t="s">
        <v>594</v>
      </c>
      <c r="Z40" s="543" t="s">
        <v>1038</v>
      </c>
      <c r="AA40" s="543" t="s">
        <v>1011</v>
      </c>
      <c r="AB40" s="542">
        <v>105.77</v>
      </c>
      <c r="AC40" s="542">
        <v>0</v>
      </c>
      <c r="AD40" s="542">
        <v>0</v>
      </c>
      <c r="AE40" s="542">
        <v>122.69</v>
      </c>
    </row>
    <row r="41" spans="1:31" x14ac:dyDescent="0.25">
      <c r="A41" s="543">
        <v>1</v>
      </c>
      <c r="B41" s="543" t="s">
        <v>184</v>
      </c>
      <c r="C41" s="543" t="s">
        <v>1229</v>
      </c>
      <c r="D41" s="543" t="s">
        <v>996</v>
      </c>
      <c r="F41" s="543" t="s">
        <v>1089</v>
      </c>
      <c r="G41" s="543" t="s">
        <v>1090</v>
      </c>
      <c r="H41" s="543" t="s">
        <v>1230</v>
      </c>
      <c r="I41" s="543" t="s">
        <v>999</v>
      </c>
      <c r="J41" s="543" t="s">
        <v>1259</v>
      </c>
      <c r="K41" s="543" t="s">
        <v>1259</v>
      </c>
      <c r="L41" s="543" t="s">
        <v>996</v>
      </c>
      <c r="N41" s="543" t="s">
        <v>1260</v>
      </c>
      <c r="O41" s="543" t="s">
        <v>1092</v>
      </c>
      <c r="P41" s="543" t="s">
        <v>1093</v>
      </c>
      <c r="Q41" s="543" t="s">
        <v>1001</v>
      </c>
      <c r="R41" s="543" t="s">
        <v>1002</v>
      </c>
      <c r="S41" s="543" t="s">
        <v>1066</v>
      </c>
      <c r="T41" s="543" t="s">
        <v>1522</v>
      </c>
      <c r="U41" s="543" t="s">
        <v>1007</v>
      </c>
      <c r="V41" s="543" t="s">
        <v>1008</v>
      </c>
      <c r="W41" s="543" t="s">
        <v>1009</v>
      </c>
      <c r="X41" s="543" t="s">
        <v>183</v>
      </c>
      <c r="Y41" s="543" t="s">
        <v>594</v>
      </c>
      <c r="Z41" s="543" t="s">
        <v>1038</v>
      </c>
      <c r="AA41" s="543" t="s">
        <v>1011</v>
      </c>
      <c r="AB41" s="542">
        <v>46.16</v>
      </c>
      <c r="AC41" s="542">
        <v>0</v>
      </c>
      <c r="AD41" s="542">
        <v>0</v>
      </c>
      <c r="AE41" s="542">
        <v>111.54</v>
      </c>
    </row>
    <row r="42" spans="1:31" x14ac:dyDescent="0.25">
      <c r="A42" s="543">
        <v>1</v>
      </c>
      <c r="B42" s="543" t="s">
        <v>184</v>
      </c>
      <c r="C42" s="543" t="s">
        <v>1231</v>
      </c>
      <c r="D42" s="543" t="s">
        <v>996</v>
      </c>
      <c r="F42" s="543" t="s">
        <v>1089</v>
      </c>
      <c r="G42" s="543" t="s">
        <v>1090</v>
      </c>
      <c r="H42" s="543" t="s">
        <v>1232</v>
      </c>
      <c r="I42" s="543" t="s">
        <v>999</v>
      </c>
      <c r="J42" s="543" t="s">
        <v>1259</v>
      </c>
      <c r="K42" s="543" t="s">
        <v>1259</v>
      </c>
      <c r="L42" s="543" t="s">
        <v>996</v>
      </c>
      <c r="N42" s="543" t="s">
        <v>1260</v>
      </c>
      <c r="O42" s="543" t="s">
        <v>1092</v>
      </c>
      <c r="P42" s="543" t="s">
        <v>1093</v>
      </c>
      <c r="Q42" s="543" t="s">
        <v>1001</v>
      </c>
      <c r="R42" s="543" t="s">
        <v>1190</v>
      </c>
      <c r="S42" s="543" t="s">
        <v>1066</v>
      </c>
      <c r="T42" s="543" t="s">
        <v>1522</v>
      </c>
      <c r="U42" s="543" t="s">
        <v>1007</v>
      </c>
      <c r="V42" s="543" t="s">
        <v>1008</v>
      </c>
      <c r="W42" s="543" t="s">
        <v>1009</v>
      </c>
      <c r="X42" s="543" t="s">
        <v>183</v>
      </c>
      <c r="Y42" s="543" t="s">
        <v>594</v>
      </c>
      <c r="Z42" s="543" t="s">
        <v>1038</v>
      </c>
      <c r="AA42" s="543" t="s">
        <v>1011</v>
      </c>
      <c r="AB42" s="542">
        <v>35.18</v>
      </c>
      <c r="AC42" s="542">
        <v>0</v>
      </c>
      <c r="AD42" s="542">
        <v>0</v>
      </c>
      <c r="AE42" s="542">
        <v>40.81</v>
      </c>
    </row>
    <row r="43" spans="1:31" x14ac:dyDescent="0.25">
      <c r="A43" s="543">
        <v>1</v>
      </c>
      <c r="B43" s="543" t="s">
        <v>184</v>
      </c>
      <c r="C43" s="543" t="s">
        <v>1233</v>
      </c>
      <c r="D43" s="543" t="s">
        <v>996</v>
      </c>
      <c r="F43" s="543" t="s">
        <v>1234</v>
      </c>
      <c r="G43" s="543" t="s">
        <v>1069</v>
      </c>
      <c r="H43" s="543" t="s">
        <v>1235</v>
      </c>
      <c r="I43" s="543" t="s">
        <v>999</v>
      </c>
      <c r="J43" s="543" t="s">
        <v>1259</v>
      </c>
      <c r="K43" s="543" t="s">
        <v>1259</v>
      </c>
      <c r="L43" s="543" t="s">
        <v>996</v>
      </c>
      <c r="N43" s="543" t="s">
        <v>1260</v>
      </c>
      <c r="O43" s="543" t="s">
        <v>1236</v>
      </c>
      <c r="P43" s="543" t="s">
        <v>1237</v>
      </c>
      <c r="Q43" s="543" t="s">
        <v>1001</v>
      </c>
      <c r="R43" s="543" t="s">
        <v>1238</v>
      </c>
      <c r="S43" s="543" t="s">
        <v>1239</v>
      </c>
      <c r="T43" s="543" t="s">
        <v>1522</v>
      </c>
      <c r="U43" s="543" t="s">
        <v>1007</v>
      </c>
      <c r="V43" s="543" t="s">
        <v>1008</v>
      </c>
      <c r="W43" s="543" t="s">
        <v>1009</v>
      </c>
      <c r="X43" s="543" t="s">
        <v>183</v>
      </c>
      <c r="Y43" s="543" t="s">
        <v>594</v>
      </c>
      <c r="Z43" s="543" t="s">
        <v>1038</v>
      </c>
      <c r="AA43" s="543" t="s">
        <v>1011</v>
      </c>
      <c r="AB43" s="542">
        <v>400.88</v>
      </c>
      <c r="AC43" s="542">
        <v>0</v>
      </c>
      <c r="AD43" s="542">
        <v>0</v>
      </c>
      <c r="AE43" s="542">
        <v>465.02</v>
      </c>
    </row>
    <row r="44" spans="1:31" x14ac:dyDescent="0.25">
      <c r="A44" s="543">
        <v>1</v>
      </c>
      <c r="B44" s="543" t="s">
        <v>184</v>
      </c>
      <c r="C44" s="543" t="s">
        <v>1240</v>
      </c>
      <c r="D44" s="543" t="s">
        <v>996</v>
      </c>
      <c r="F44" s="543" t="s">
        <v>1241</v>
      </c>
      <c r="G44" s="543" t="s">
        <v>1242</v>
      </c>
      <c r="H44" s="543" t="s">
        <v>1243</v>
      </c>
      <c r="I44" s="543" t="s">
        <v>999</v>
      </c>
      <c r="J44" s="543" t="s">
        <v>1259</v>
      </c>
      <c r="K44" s="543" t="s">
        <v>1259</v>
      </c>
      <c r="L44" s="543" t="s">
        <v>996</v>
      </c>
      <c r="N44" s="543" t="s">
        <v>1260</v>
      </c>
      <c r="O44" s="543" t="s">
        <v>1244</v>
      </c>
      <c r="P44" s="543" t="s">
        <v>1245</v>
      </c>
      <c r="Q44" s="543" t="s">
        <v>1001</v>
      </c>
      <c r="R44" s="543" t="s">
        <v>1050</v>
      </c>
      <c r="S44" s="543" t="s">
        <v>1246</v>
      </c>
      <c r="T44" s="543" t="s">
        <v>1522</v>
      </c>
      <c r="U44" s="543" t="s">
        <v>1007</v>
      </c>
      <c r="V44" s="543" t="s">
        <v>1008</v>
      </c>
      <c r="W44" s="543" t="s">
        <v>1009</v>
      </c>
      <c r="X44" s="543" t="s">
        <v>183</v>
      </c>
      <c r="Y44" s="543" t="s">
        <v>594</v>
      </c>
      <c r="Z44" s="543" t="s">
        <v>1038</v>
      </c>
      <c r="AA44" s="543" t="s">
        <v>1011</v>
      </c>
      <c r="AB44" s="542">
        <v>4500</v>
      </c>
      <c r="AC44" s="542">
        <v>0</v>
      </c>
      <c r="AD44" s="542">
        <v>0</v>
      </c>
      <c r="AE44" s="542">
        <v>5220</v>
      </c>
    </row>
    <row r="45" spans="1:31" x14ac:dyDescent="0.25">
      <c r="A45" s="543">
        <v>1</v>
      </c>
      <c r="B45" s="543" t="s">
        <v>184</v>
      </c>
      <c r="C45" s="543" t="s">
        <v>1247</v>
      </c>
      <c r="D45" s="543" t="s">
        <v>996</v>
      </c>
      <c r="F45" s="543" t="s">
        <v>1248</v>
      </c>
      <c r="G45" s="543" t="s">
        <v>1249</v>
      </c>
      <c r="H45" s="543" t="s">
        <v>1250</v>
      </c>
      <c r="I45" s="543" t="s">
        <v>999</v>
      </c>
      <c r="J45" s="543" t="s">
        <v>1259</v>
      </c>
      <c r="K45" s="543" t="s">
        <v>1259</v>
      </c>
      <c r="L45" s="543" t="s">
        <v>996</v>
      </c>
      <c r="N45" s="543" t="s">
        <v>1260</v>
      </c>
      <c r="O45" s="543" t="s">
        <v>1251</v>
      </c>
      <c r="P45" s="543" t="s">
        <v>1252</v>
      </c>
      <c r="Q45" s="543" t="s">
        <v>1001</v>
      </c>
      <c r="R45" s="543" t="s">
        <v>1002</v>
      </c>
      <c r="S45" s="543" t="s">
        <v>1066</v>
      </c>
      <c r="T45" s="543" t="s">
        <v>1522</v>
      </c>
      <c r="U45" s="543" t="s">
        <v>1007</v>
      </c>
      <c r="V45" s="543" t="s">
        <v>1008</v>
      </c>
      <c r="W45" s="543" t="s">
        <v>1009</v>
      </c>
      <c r="X45" s="543" t="s">
        <v>183</v>
      </c>
      <c r="Y45" s="543" t="s">
        <v>594</v>
      </c>
      <c r="Z45" s="543" t="s">
        <v>1038</v>
      </c>
      <c r="AA45" s="543" t="s">
        <v>1011</v>
      </c>
      <c r="AB45" s="542">
        <v>81.61</v>
      </c>
      <c r="AC45" s="542">
        <v>0</v>
      </c>
      <c r="AD45" s="542">
        <v>0</v>
      </c>
      <c r="AE45" s="542">
        <v>101.63</v>
      </c>
    </row>
    <row r="46" spans="1:31" x14ac:dyDescent="0.25">
      <c r="A46" s="543">
        <v>1</v>
      </c>
      <c r="B46" s="543" t="s">
        <v>184</v>
      </c>
      <c r="C46" s="543" t="s">
        <v>1253</v>
      </c>
      <c r="D46" s="543" t="s">
        <v>996</v>
      </c>
      <c r="F46" s="543" t="s">
        <v>1254</v>
      </c>
      <c r="H46" s="543" t="s">
        <v>1255</v>
      </c>
      <c r="I46" s="543" t="s">
        <v>999</v>
      </c>
      <c r="J46" s="543" t="s">
        <v>1259</v>
      </c>
      <c r="K46" s="543" t="s">
        <v>1259</v>
      </c>
      <c r="L46" s="543" t="s">
        <v>996</v>
      </c>
      <c r="N46" s="543" t="s">
        <v>1260</v>
      </c>
      <c r="O46" s="543" t="s">
        <v>1256</v>
      </c>
      <c r="P46" s="543" t="s">
        <v>1257</v>
      </c>
      <c r="Q46" s="543" t="s">
        <v>1001</v>
      </c>
      <c r="R46" s="543" t="s">
        <v>1050</v>
      </c>
      <c r="S46" s="543" t="s">
        <v>1258</v>
      </c>
      <c r="T46" s="543" t="s">
        <v>1522</v>
      </c>
      <c r="U46" s="543" t="s">
        <v>1007</v>
      </c>
      <c r="V46" s="543" t="s">
        <v>1008</v>
      </c>
      <c r="W46" s="543" t="s">
        <v>1009</v>
      </c>
      <c r="X46" s="543" t="s">
        <v>183</v>
      </c>
      <c r="Y46" s="543" t="s">
        <v>594</v>
      </c>
      <c r="Z46" s="543" t="s">
        <v>1038</v>
      </c>
      <c r="AA46" s="543" t="s">
        <v>1011</v>
      </c>
      <c r="AB46" s="542">
        <v>450</v>
      </c>
      <c r="AC46" s="542">
        <v>0</v>
      </c>
      <c r="AD46" s="542">
        <v>0</v>
      </c>
      <c r="AE46" s="542">
        <v>522</v>
      </c>
    </row>
    <row r="47" spans="1:31" x14ac:dyDescent="0.25">
      <c r="AB47" s="546">
        <f>SUM(AB5:AB46)</f>
        <v>40444.990000000005</v>
      </c>
      <c r="AC47" s="546">
        <f>SUM(AC5:AC46)</f>
        <v>0</v>
      </c>
      <c r="AD47" s="546">
        <f>SUM(AD5:AD46)</f>
        <v>39</v>
      </c>
      <c r="AE47" s="546">
        <f>SUM(AE5:AE46)</f>
        <v>48631.319999999992</v>
      </c>
    </row>
    <row r="48" spans="1:31" x14ac:dyDescent="0.25">
      <c r="AB48" s="542"/>
      <c r="AD48" s="542"/>
    </row>
    <row r="49" spans="29:30" x14ac:dyDescent="0.25">
      <c r="AD49" s="547"/>
    </row>
    <row r="53" spans="29:30" x14ac:dyDescent="0.25">
      <c r="AC53" s="548"/>
    </row>
    <row r="54" spans="29:30" ht="18.75" x14ac:dyDescent="0.3">
      <c r="AC54" s="549"/>
    </row>
    <row r="55" spans="29:30" x14ac:dyDescent="0.25">
      <c r="AC55" s="548"/>
    </row>
  </sheetData>
  <mergeCells count="1">
    <mergeCell ref="X1:Z1"/>
  </mergeCells>
  <hyperlinks>
    <hyperlink ref="X2" r:id="rId1" display="https://www.youtube.com/watch?v=p4dXfU9Gm4k&amp;t=12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showGridLines="0" topLeftCell="A36" zoomScaleNormal="100" workbookViewId="0">
      <selection activeCell="E46" sqref="E46"/>
    </sheetView>
  </sheetViews>
  <sheetFormatPr baseColWidth="10" defaultRowHeight="15" x14ac:dyDescent="0.25"/>
  <cols>
    <col min="1" max="1" width="2.42578125" customWidth="1"/>
    <col min="2" max="2" width="34.140625" customWidth="1"/>
    <col min="3" max="3" width="21" customWidth="1"/>
    <col min="4" max="4" width="22.7109375" customWidth="1"/>
    <col min="5" max="5" width="18.7109375" customWidth="1"/>
    <col min="6" max="6" width="20.28515625" customWidth="1"/>
    <col min="7" max="7" width="17.85546875" customWidth="1"/>
    <col min="8" max="8" width="19.28515625" customWidth="1"/>
    <col min="9" max="9" width="18.28515625" bestFit="1" customWidth="1"/>
    <col min="10" max="10" width="19.140625" customWidth="1"/>
    <col min="11" max="11" width="18.28515625" customWidth="1"/>
    <col min="12" max="12" width="16.5703125" customWidth="1"/>
    <col min="13" max="13" width="18.140625" customWidth="1"/>
    <col min="14" max="14" width="17.42578125" customWidth="1"/>
    <col min="15" max="15" width="24.7109375" bestFit="1" customWidth="1"/>
  </cols>
  <sheetData>
    <row r="1" spans="1:11" hidden="1" x14ac:dyDescent="0.25"/>
    <row r="2" spans="1:11" hidden="1" x14ac:dyDescent="0.25"/>
    <row r="3" spans="1:11" ht="18.75" hidden="1" x14ac:dyDescent="0.3">
      <c r="B3" s="415" t="s">
        <v>130</v>
      </c>
      <c r="C3" s="415"/>
      <c r="D3" s="415"/>
      <c r="E3" s="415"/>
      <c r="F3" s="415"/>
      <c r="G3" s="415"/>
      <c r="H3" s="415"/>
      <c r="I3" s="415"/>
      <c r="J3" s="415"/>
      <c r="K3" s="415"/>
    </row>
    <row r="4" spans="1:11" hidden="1" x14ac:dyDescent="0.25"/>
    <row r="5" spans="1:11" hidden="1" x14ac:dyDescent="0.25">
      <c r="E5" s="86" t="s">
        <v>131</v>
      </c>
      <c r="F5" s="86" t="s">
        <v>132</v>
      </c>
    </row>
    <row r="6" spans="1:11" hidden="1" x14ac:dyDescent="0.25">
      <c r="A6" s="87"/>
      <c r="C6" s="87" t="s">
        <v>133</v>
      </c>
      <c r="D6" s="74">
        <v>0.01</v>
      </c>
      <c r="E6" s="88">
        <v>25000</v>
      </c>
      <c r="F6" s="119">
        <v>0.01</v>
      </c>
    </row>
    <row r="7" spans="1:11" hidden="1" x14ac:dyDescent="0.25">
      <c r="A7" s="87"/>
      <c r="C7" s="87" t="s">
        <v>133</v>
      </c>
      <c r="D7" s="74">
        <v>25001</v>
      </c>
      <c r="E7" s="89">
        <v>50000</v>
      </c>
      <c r="F7" s="120">
        <v>1.0999999999999999E-2</v>
      </c>
    </row>
    <row r="8" spans="1:11" hidden="1" x14ac:dyDescent="0.25">
      <c r="A8" s="87"/>
      <c r="C8" s="87" t="s">
        <v>133</v>
      </c>
      <c r="D8" s="74">
        <v>50001</v>
      </c>
      <c r="E8" s="89">
        <v>83333.33</v>
      </c>
      <c r="F8" s="120">
        <v>1.4999999999999999E-2</v>
      </c>
    </row>
    <row r="9" spans="1:11" hidden="1" x14ac:dyDescent="0.25">
      <c r="A9" s="87"/>
      <c r="C9" s="87" t="s">
        <v>134</v>
      </c>
      <c r="D9" s="74">
        <v>83333.34</v>
      </c>
      <c r="E9" s="89">
        <v>208333.33</v>
      </c>
      <c r="F9" s="121">
        <v>0.02</v>
      </c>
    </row>
    <row r="10" spans="1:11" hidden="1" x14ac:dyDescent="0.25">
      <c r="D10" s="74">
        <v>208333.34</v>
      </c>
      <c r="E10" s="88">
        <v>3500000</v>
      </c>
      <c r="F10" s="119">
        <v>2.5000000000000001E-2</v>
      </c>
    </row>
    <row r="11" spans="1:11" hidden="1" x14ac:dyDescent="0.25">
      <c r="D11" s="74">
        <v>3500001</v>
      </c>
      <c r="E11" s="88">
        <v>3500000</v>
      </c>
      <c r="F11" s="120">
        <v>2.5000000000000001E-2</v>
      </c>
    </row>
    <row r="12" spans="1:11" hidden="1" x14ac:dyDescent="0.25">
      <c r="E12" s="16"/>
      <c r="F12" s="90"/>
    </row>
    <row r="13" spans="1:11" ht="26.25" hidden="1" x14ac:dyDescent="0.4">
      <c r="D13" s="76" t="s">
        <v>135</v>
      </c>
      <c r="E13" s="76" t="s">
        <v>135</v>
      </c>
      <c r="F13" s="111">
        <v>807.75</v>
      </c>
      <c r="G13" s="16"/>
    </row>
    <row r="14" spans="1:11" hidden="1" x14ac:dyDescent="0.25">
      <c r="D14" s="76"/>
      <c r="E14" s="76" t="s">
        <v>124</v>
      </c>
      <c r="F14" s="78">
        <v>374.65</v>
      </c>
      <c r="G14" s="16"/>
    </row>
    <row r="15" spans="1:11" ht="21" hidden="1" x14ac:dyDescent="0.35">
      <c r="D15" s="76" t="s">
        <v>125</v>
      </c>
      <c r="E15" s="91" t="s">
        <v>125</v>
      </c>
      <c r="F15" s="92">
        <f>VLOOKUP(F13,D6:F9,3,1)</f>
        <v>0.01</v>
      </c>
    </row>
    <row r="16" spans="1:11" ht="26.25" hidden="1" x14ac:dyDescent="0.4">
      <c r="D16" s="76" t="s">
        <v>136</v>
      </c>
      <c r="E16" s="112" t="s">
        <v>126</v>
      </c>
      <c r="F16" s="113">
        <f>F13*F15</f>
        <v>8.0775000000000006</v>
      </c>
    </row>
    <row r="17" spans="1:11" ht="24.6" hidden="1" customHeight="1" x14ac:dyDescent="0.25">
      <c r="D17" s="76" t="s">
        <v>127</v>
      </c>
      <c r="E17" s="76" t="s">
        <v>127</v>
      </c>
      <c r="F17" s="81">
        <f>F13-F16</f>
        <v>799.67250000000001</v>
      </c>
    </row>
    <row r="18" spans="1:11" hidden="1" x14ac:dyDescent="0.25"/>
    <row r="19" spans="1:11" hidden="1" x14ac:dyDescent="0.25"/>
    <row r="20" spans="1:11" hidden="1" x14ac:dyDescent="0.25"/>
    <row r="21" spans="1:11" s="118" customFormat="1" hidden="1" x14ac:dyDescent="0.25"/>
    <row r="22" spans="1:11" s="118" customFormat="1" hidden="1" x14ac:dyDescent="0.25">
      <c r="A22" s="122"/>
      <c r="B22" s="422" t="s">
        <v>861</v>
      </c>
      <c r="C22" s="422"/>
      <c r="D22" s="422"/>
      <c r="E22" s="422"/>
      <c r="F22" s="122"/>
      <c r="G22" s="122"/>
      <c r="H22" s="122"/>
      <c r="I22" s="122"/>
      <c r="J22" s="122"/>
      <c r="K22" s="122"/>
    </row>
    <row r="23" spans="1:11" s="118" customFormat="1" hidden="1" x14ac:dyDescent="0.25">
      <c r="A23" s="122"/>
      <c r="B23" s="423"/>
      <c r="C23" s="423"/>
      <c r="D23" s="423"/>
      <c r="E23" s="423"/>
      <c r="F23" s="122"/>
      <c r="G23" s="122"/>
      <c r="H23" s="122"/>
      <c r="I23" s="122"/>
      <c r="J23" s="122"/>
      <c r="K23" s="122"/>
    </row>
    <row r="24" spans="1:11" s="118" customFormat="1" hidden="1" x14ac:dyDescent="0.25">
      <c r="A24" s="122"/>
      <c r="B24" s="420" t="s">
        <v>862</v>
      </c>
      <c r="C24" s="420"/>
      <c r="D24" s="420"/>
      <c r="E24" s="420"/>
      <c r="F24" s="122"/>
      <c r="G24" s="424" t="s">
        <v>863</v>
      </c>
      <c r="H24" s="424"/>
      <c r="I24" s="424"/>
      <c r="J24" s="424"/>
      <c r="K24" s="424"/>
    </row>
    <row r="25" spans="1:11" s="118" customFormat="1" hidden="1" x14ac:dyDescent="0.25">
      <c r="A25" s="122"/>
      <c r="B25" s="420"/>
      <c r="C25" s="420"/>
      <c r="D25" s="420"/>
      <c r="E25" s="420"/>
      <c r="F25" s="122"/>
      <c r="G25" s="424"/>
      <c r="H25" s="424"/>
      <c r="I25" s="424"/>
      <c r="J25" s="424"/>
      <c r="K25" s="424"/>
    </row>
    <row r="26" spans="1:11" s="118" customFormat="1" hidden="1" x14ac:dyDescent="0.25">
      <c r="A26" s="122"/>
      <c r="B26" s="420"/>
      <c r="C26" s="420"/>
      <c r="D26" s="420"/>
      <c r="E26" s="420"/>
      <c r="F26" s="122"/>
      <c r="G26" s="122"/>
      <c r="H26" s="122"/>
      <c r="I26" s="122"/>
      <c r="J26" s="122"/>
      <c r="K26" s="122"/>
    </row>
    <row r="27" spans="1:11" s="118" customFormat="1" hidden="1" x14ac:dyDescent="0.25">
      <c r="A27" s="122"/>
      <c r="B27" s="420"/>
      <c r="C27" s="420"/>
      <c r="D27" s="420"/>
      <c r="E27" s="420"/>
      <c r="F27" s="122"/>
      <c r="G27" s="425" t="s">
        <v>864</v>
      </c>
      <c r="H27" s="425"/>
      <c r="I27" s="425"/>
      <c r="J27" s="425"/>
      <c r="K27" s="425"/>
    </row>
    <row r="28" spans="1:11" s="118" customFormat="1" hidden="1" x14ac:dyDescent="0.25">
      <c r="A28" s="122"/>
      <c r="B28" s="421" t="s">
        <v>865</v>
      </c>
      <c r="C28" s="421"/>
      <c r="D28" s="418" t="s">
        <v>866</v>
      </c>
      <c r="E28" s="418"/>
      <c r="F28" s="122"/>
      <c r="G28" s="425"/>
      <c r="H28" s="425"/>
      <c r="I28" s="425"/>
      <c r="J28" s="425"/>
      <c r="K28" s="425"/>
    </row>
    <row r="29" spans="1:11" s="118" customFormat="1" hidden="1" x14ac:dyDescent="0.25">
      <c r="A29" s="123"/>
      <c r="B29" s="417">
        <v>25000</v>
      </c>
      <c r="C29" s="417"/>
      <c r="D29" s="419">
        <v>0.01</v>
      </c>
      <c r="E29" s="419"/>
      <c r="F29" s="122"/>
      <c r="G29" s="122"/>
      <c r="H29" s="122"/>
      <c r="I29" s="122"/>
      <c r="J29" s="122"/>
      <c r="K29" s="122"/>
    </row>
    <row r="30" spans="1:11" s="118" customFormat="1" hidden="1" x14ac:dyDescent="0.25">
      <c r="A30" s="123"/>
      <c r="B30" s="417">
        <v>50000</v>
      </c>
      <c r="C30" s="417"/>
      <c r="D30" s="419">
        <v>1.0999999999999999E-2</v>
      </c>
      <c r="E30" s="419"/>
      <c r="F30" s="122"/>
      <c r="G30" s="122"/>
      <c r="H30" s="122"/>
      <c r="I30" s="122"/>
      <c r="J30" s="122"/>
      <c r="K30" s="122"/>
    </row>
    <row r="31" spans="1:11" s="118" customFormat="1" hidden="1" x14ac:dyDescent="0.25">
      <c r="A31" s="123"/>
      <c r="B31" s="417">
        <v>83333.33</v>
      </c>
      <c r="C31" s="417"/>
      <c r="D31" s="428">
        <v>1.4999999999999999E-2</v>
      </c>
      <c r="E31" s="428"/>
      <c r="F31" s="74">
        <v>1500000</v>
      </c>
      <c r="G31" s="122"/>
      <c r="H31" s="122"/>
      <c r="I31" s="122"/>
      <c r="J31" s="122"/>
      <c r="K31" s="122"/>
    </row>
    <row r="32" spans="1:11" s="118" customFormat="1" hidden="1" x14ac:dyDescent="0.25">
      <c r="A32" s="123"/>
      <c r="B32" s="417">
        <v>208333.33</v>
      </c>
      <c r="C32" s="417"/>
      <c r="D32" s="419">
        <v>0.02</v>
      </c>
      <c r="E32" s="419"/>
      <c r="F32" s="16">
        <f>F31*D33</f>
        <v>37500</v>
      </c>
      <c r="G32" s="122"/>
      <c r="H32" s="122"/>
      <c r="I32" s="122"/>
    </row>
    <row r="33" spans="1:15" hidden="1" x14ac:dyDescent="0.25">
      <c r="A33" s="123"/>
      <c r="B33" s="417">
        <v>3500000</v>
      </c>
      <c r="C33" s="417"/>
      <c r="D33" s="419">
        <v>2.5000000000000001E-2</v>
      </c>
      <c r="E33" s="419"/>
      <c r="F33" s="122"/>
      <c r="G33" s="122"/>
      <c r="H33" s="122"/>
      <c r="I33" s="122"/>
      <c r="J33" s="118"/>
      <c r="K33" s="118"/>
    </row>
    <row r="34" spans="1:15" s="122" customFormat="1" hidden="1" x14ac:dyDescent="0.25">
      <c r="A34" s="123"/>
      <c r="B34" s="124"/>
      <c r="C34" s="124"/>
      <c r="D34" s="125"/>
      <c r="E34" s="125"/>
      <c r="F34" s="424" t="s">
        <v>870</v>
      </c>
    </row>
    <row r="35" spans="1:15" s="122" customFormat="1" hidden="1" x14ac:dyDescent="0.25">
      <c r="A35" s="123"/>
      <c r="B35" s="124"/>
      <c r="C35" s="124"/>
      <c r="D35" s="125"/>
      <c r="E35" s="125"/>
      <c r="F35" s="424"/>
    </row>
    <row r="36" spans="1:15" s="126" customFormat="1" ht="24.75" customHeight="1" x14ac:dyDescent="0.25">
      <c r="A36" s="127"/>
      <c r="B36" s="124"/>
      <c r="C36" s="124"/>
      <c r="D36" s="591" t="s">
        <v>1573</v>
      </c>
      <c r="E36" s="591"/>
      <c r="F36" s="591"/>
    </row>
    <row r="37" spans="1:15" s="122" customFormat="1" x14ac:dyDescent="0.25">
      <c r="A37" s="123"/>
      <c r="B37" s="124"/>
      <c r="C37" s="124"/>
      <c r="D37" s="585" t="s">
        <v>1572</v>
      </c>
      <c r="E37" s="125"/>
    </row>
    <row r="38" spans="1:15" s="122" customFormat="1" ht="6" customHeight="1" x14ac:dyDescent="0.25">
      <c r="A38" s="123"/>
      <c r="B38" s="124"/>
      <c r="C38" s="124"/>
      <c r="D38" s="125"/>
      <c r="E38" s="125"/>
    </row>
    <row r="39" spans="1:15" s="122" customFormat="1" ht="36" x14ac:dyDescent="0.55000000000000004">
      <c r="A39" s="123"/>
      <c r="B39" s="552" t="s">
        <v>1504</v>
      </c>
      <c r="C39" s="552"/>
      <c r="D39" s="552"/>
      <c r="E39" s="552"/>
      <c r="F39" s="552"/>
      <c r="G39" s="552"/>
      <c r="H39" s="552"/>
      <c r="I39" s="552"/>
      <c r="J39" s="553"/>
      <c r="K39" s="553"/>
      <c r="L39" s="553"/>
      <c r="M39" s="553"/>
      <c r="N39" s="553"/>
    </row>
    <row r="40" spans="1:15" s="530" customFormat="1" ht="26.25" customHeight="1" x14ac:dyDescent="0.25">
      <c r="A40" s="526"/>
      <c r="B40" s="527" t="s">
        <v>1503</v>
      </c>
      <c r="C40" s="527" t="s">
        <v>3</v>
      </c>
      <c r="D40" s="528" t="s">
        <v>4</v>
      </c>
      <c r="E40" s="528" t="s">
        <v>5</v>
      </c>
      <c r="F40" s="527" t="s">
        <v>6</v>
      </c>
      <c r="G40" s="528" t="s">
        <v>7</v>
      </c>
      <c r="H40" s="528" t="s">
        <v>8</v>
      </c>
      <c r="I40" s="527" t="s">
        <v>9</v>
      </c>
      <c r="J40" s="528" t="s">
        <v>10</v>
      </c>
      <c r="K40" s="528" t="s">
        <v>11</v>
      </c>
      <c r="L40" s="528" t="s">
        <v>12</v>
      </c>
      <c r="M40" s="528" t="s">
        <v>13</v>
      </c>
      <c r="N40" s="529" t="s">
        <v>14</v>
      </c>
    </row>
    <row r="41" spans="1:15" s="126" customFormat="1" ht="18.75" x14ac:dyDescent="0.3">
      <c r="A41" s="127"/>
      <c r="B41" s="519" t="s">
        <v>1501</v>
      </c>
      <c r="C41" s="520">
        <f>INGRESOSRES!AB5</f>
        <v>11555.88889</v>
      </c>
      <c r="D41" s="520">
        <v>0</v>
      </c>
      <c r="E41" s="520">
        <v>0</v>
      </c>
      <c r="F41" s="520">
        <v>0</v>
      </c>
      <c r="G41" s="520">
        <v>0</v>
      </c>
      <c r="H41" s="520">
        <v>0</v>
      </c>
      <c r="I41" s="520">
        <v>0</v>
      </c>
      <c r="J41" s="520">
        <v>0</v>
      </c>
      <c r="K41" s="520">
        <v>0</v>
      </c>
      <c r="L41" s="520">
        <v>0</v>
      </c>
      <c r="M41" s="520">
        <v>0</v>
      </c>
      <c r="N41" s="520">
        <v>0</v>
      </c>
    </row>
    <row r="42" spans="1:15" s="126" customFormat="1" ht="18.75" x14ac:dyDescent="0.3">
      <c r="A42" s="127"/>
      <c r="B42" s="519" t="s">
        <v>1502</v>
      </c>
      <c r="C42" s="520">
        <f>INGRESOSRES!AB6+INGRESOSRES!AB7+INGRESOSRES!AB8+INGRESOSRES!AB9+INGRESOSRES!AB10+INGRESOSRES!AB11+INGRESOSRES!AB12+INGRESOSRES!AB13</f>
        <v>92447.111120000001</v>
      </c>
      <c r="D42" s="520">
        <v>0</v>
      </c>
      <c r="E42" s="520">
        <v>0</v>
      </c>
      <c r="F42" s="520">
        <v>0</v>
      </c>
      <c r="G42" s="520">
        <v>0</v>
      </c>
      <c r="H42" s="520">
        <v>0</v>
      </c>
      <c r="I42" s="520">
        <v>0</v>
      </c>
      <c r="J42" s="520">
        <v>0</v>
      </c>
      <c r="K42" s="520">
        <v>0</v>
      </c>
      <c r="L42" s="520">
        <v>0</v>
      </c>
      <c r="M42" s="520">
        <v>0</v>
      </c>
      <c r="N42" s="520">
        <v>0</v>
      </c>
    </row>
    <row r="43" spans="1:15" s="126" customFormat="1" ht="18.75" x14ac:dyDescent="0.3">
      <c r="A43" s="127"/>
      <c r="B43" s="521"/>
      <c r="C43" s="522"/>
      <c r="D43" s="523"/>
      <c r="E43" s="523"/>
      <c r="F43" s="524"/>
      <c r="G43" s="524"/>
      <c r="H43" s="524"/>
      <c r="I43" s="524"/>
      <c r="J43" s="524"/>
      <c r="K43" s="524"/>
      <c r="L43" s="524"/>
      <c r="M43" s="524"/>
      <c r="N43" s="524"/>
    </row>
    <row r="44" spans="1:15" ht="18.75" x14ac:dyDescent="0.3">
      <c r="B44" s="427" t="s">
        <v>137</v>
      </c>
      <c r="C44" s="427"/>
      <c r="D44" s="427" t="s">
        <v>869</v>
      </c>
      <c r="E44" s="427"/>
      <c r="F44" s="427"/>
      <c r="G44" s="427"/>
      <c r="H44" s="427"/>
      <c r="I44" s="427"/>
      <c r="J44" s="427"/>
      <c r="K44" s="427"/>
      <c r="L44" s="427"/>
      <c r="M44" s="427"/>
      <c r="N44" s="427"/>
    </row>
    <row r="45" spans="1:15" s="126" customFormat="1" ht="21" x14ac:dyDescent="0.35">
      <c r="B45" s="554" t="s">
        <v>868</v>
      </c>
      <c r="C45" s="390" t="s">
        <v>3</v>
      </c>
      <c r="D45" s="129" t="s">
        <v>4</v>
      </c>
      <c r="E45" s="390" t="s">
        <v>5</v>
      </c>
      <c r="F45" s="129" t="s">
        <v>6</v>
      </c>
      <c r="G45" s="390" t="s">
        <v>7</v>
      </c>
      <c r="H45" s="129" t="s">
        <v>8</v>
      </c>
      <c r="I45" s="390" t="s">
        <v>9</v>
      </c>
      <c r="J45" s="129" t="s">
        <v>10</v>
      </c>
      <c r="K45" s="390" t="s">
        <v>11</v>
      </c>
      <c r="L45" s="129" t="s">
        <v>12</v>
      </c>
      <c r="M45" s="390" t="s">
        <v>13</v>
      </c>
      <c r="N45" s="129" t="s">
        <v>14</v>
      </c>
      <c r="O45" s="239"/>
    </row>
    <row r="46" spans="1:15" s="560" customFormat="1" ht="39" customHeight="1" x14ac:dyDescent="0.25">
      <c r="B46" s="555" t="s">
        <v>1505</v>
      </c>
      <c r="C46" s="561">
        <f>C41+C42</f>
        <v>104003.00001</v>
      </c>
      <c r="D46" s="561">
        <f t="shared" ref="D46:N46" si="0">D41+D42</f>
        <v>0</v>
      </c>
      <c r="E46" s="561">
        <f t="shared" si="0"/>
        <v>0</v>
      </c>
      <c r="F46" s="561">
        <f t="shared" si="0"/>
        <v>0</v>
      </c>
      <c r="G46" s="561">
        <f t="shared" si="0"/>
        <v>0</v>
      </c>
      <c r="H46" s="561">
        <f t="shared" si="0"/>
        <v>0</v>
      </c>
      <c r="I46" s="561">
        <f t="shared" si="0"/>
        <v>0</v>
      </c>
      <c r="J46" s="561">
        <f t="shared" si="0"/>
        <v>0</v>
      </c>
      <c r="K46" s="561">
        <f t="shared" si="0"/>
        <v>0</v>
      </c>
      <c r="L46" s="561">
        <f t="shared" si="0"/>
        <v>0</v>
      </c>
      <c r="M46" s="561">
        <f t="shared" si="0"/>
        <v>0</v>
      </c>
      <c r="N46" s="561">
        <f t="shared" si="0"/>
        <v>0</v>
      </c>
      <c r="O46" s="562"/>
    </row>
    <row r="47" spans="1:15" s="560" customFormat="1" ht="35.25" customHeight="1" x14ac:dyDescent="0.25">
      <c r="B47" s="555" t="s">
        <v>1506</v>
      </c>
      <c r="C47" s="566"/>
      <c r="D47" s="561"/>
      <c r="E47" s="561"/>
      <c r="F47" s="561"/>
      <c r="G47" s="561"/>
      <c r="H47" s="561"/>
      <c r="I47" s="561"/>
      <c r="J47" s="561"/>
      <c r="K47" s="561"/>
      <c r="L47" s="561"/>
      <c r="M47" s="561"/>
      <c r="N47" s="561"/>
      <c r="O47" s="562"/>
    </row>
    <row r="48" spans="1:15" s="560" customFormat="1" ht="24.75" customHeight="1" x14ac:dyDescent="0.25">
      <c r="B48" s="555" t="s">
        <v>1507</v>
      </c>
      <c r="C48" s="566"/>
      <c r="D48" s="561"/>
      <c r="E48" s="561"/>
      <c r="F48" s="561"/>
      <c r="G48" s="561"/>
      <c r="H48" s="561"/>
      <c r="I48" s="561"/>
      <c r="J48" s="561"/>
      <c r="K48" s="561"/>
      <c r="L48" s="561"/>
      <c r="M48" s="561"/>
      <c r="N48" s="561"/>
      <c r="O48" s="562"/>
    </row>
    <row r="49" spans="1:16" s="560" customFormat="1" ht="24.75" customHeight="1" x14ac:dyDescent="0.25">
      <c r="B49" s="555" t="s">
        <v>1508</v>
      </c>
      <c r="C49" s="566"/>
      <c r="D49" s="561"/>
      <c r="E49" s="561"/>
      <c r="F49" s="561"/>
      <c r="G49" s="561"/>
      <c r="H49" s="561"/>
      <c r="I49" s="561"/>
      <c r="J49" s="561"/>
      <c r="K49" s="561"/>
      <c r="L49" s="561"/>
      <c r="M49" s="561"/>
      <c r="N49" s="561"/>
      <c r="O49" s="562"/>
    </row>
    <row r="50" spans="1:16" s="560" customFormat="1" ht="24.75" customHeight="1" x14ac:dyDescent="0.25">
      <c r="B50" s="555" t="s">
        <v>1509</v>
      </c>
      <c r="C50" s="561">
        <f>C46-C47-C48+C49</f>
        <v>104003.00001</v>
      </c>
      <c r="D50" s="561"/>
      <c r="E50" s="561"/>
      <c r="F50" s="561"/>
      <c r="G50" s="561"/>
      <c r="H50" s="561"/>
      <c r="I50" s="561"/>
      <c r="J50" s="561"/>
      <c r="K50" s="561"/>
      <c r="L50" s="561"/>
      <c r="M50" s="561"/>
      <c r="N50" s="561"/>
      <c r="O50" s="562"/>
    </row>
    <row r="51" spans="1:16" s="560" customFormat="1" ht="18.75" x14ac:dyDescent="0.25">
      <c r="B51" s="555" t="s">
        <v>867</v>
      </c>
      <c r="C51" s="563">
        <f>VLOOKUP(C46,$D$6:$F$11,3,1)</f>
        <v>0.02</v>
      </c>
      <c r="D51" s="563" t="e">
        <f t="shared" ref="D51:N51" si="1">VLOOKUP(D46,$D$6:$F$11,3,1)</f>
        <v>#N/A</v>
      </c>
      <c r="E51" s="563" t="e">
        <f t="shared" si="1"/>
        <v>#N/A</v>
      </c>
      <c r="F51" s="563" t="e">
        <f t="shared" si="1"/>
        <v>#N/A</v>
      </c>
      <c r="G51" s="563" t="e">
        <f t="shared" si="1"/>
        <v>#N/A</v>
      </c>
      <c r="H51" s="563" t="e">
        <f t="shared" si="1"/>
        <v>#N/A</v>
      </c>
      <c r="I51" s="563" t="e">
        <f t="shared" si="1"/>
        <v>#N/A</v>
      </c>
      <c r="J51" s="563" t="e">
        <f t="shared" si="1"/>
        <v>#N/A</v>
      </c>
      <c r="K51" s="563" t="e">
        <f t="shared" si="1"/>
        <v>#N/A</v>
      </c>
      <c r="L51" s="563" t="e">
        <f t="shared" si="1"/>
        <v>#N/A</v>
      </c>
      <c r="M51" s="563" t="e">
        <f t="shared" si="1"/>
        <v>#N/A</v>
      </c>
      <c r="N51" s="563" t="e">
        <f t="shared" si="1"/>
        <v>#N/A</v>
      </c>
      <c r="O51" s="556"/>
      <c r="P51" s="557"/>
    </row>
    <row r="52" spans="1:16" s="560" customFormat="1" ht="18.75" x14ac:dyDescent="0.25">
      <c r="B52" s="558" t="s">
        <v>873</v>
      </c>
      <c r="C52" s="564">
        <f>C46*C51</f>
        <v>2080.0600002000001</v>
      </c>
      <c r="D52" s="561" t="e">
        <f t="shared" ref="D52:N52" si="2">D46*D51</f>
        <v>#N/A</v>
      </c>
      <c r="E52" s="561" t="e">
        <f t="shared" si="2"/>
        <v>#N/A</v>
      </c>
      <c r="F52" s="561" t="e">
        <f t="shared" si="2"/>
        <v>#N/A</v>
      </c>
      <c r="G52" s="561" t="e">
        <f t="shared" si="2"/>
        <v>#N/A</v>
      </c>
      <c r="H52" s="561" t="e">
        <f t="shared" si="2"/>
        <v>#N/A</v>
      </c>
      <c r="I52" s="561" t="e">
        <f t="shared" si="2"/>
        <v>#N/A</v>
      </c>
      <c r="J52" s="561" t="e">
        <f t="shared" si="2"/>
        <v>#N/A</v>
      </c>
      <c r="K52" s="561" t="e">
        <f t="shared" si="2"/>
        <v>#N/A</v>
      </c>
      <c r="L52" s="561" t="e">
        <f t="shared" si="2"/>
        <v>#N/A</v>
      </c>
      <c r="M52" s="561" t="e">
        <f t="shared" si="2"/>
        <v>#N/A</v>
      </c>
      <c r="N52" s="561" t="e">
        <f t="shared" si="2"/>
        <v>#N/A</v>
      </c>
      <c r="O52" s="562"/>
    </row>
    <row r="53" spans="1:16" s="560" customFormat="1" ht="18.75" hidden="1" x14ac:dyDescent="0.25">
      <c r="B53" s="558"/>
      <c r="C53" s="561"/>
      <c r="D53" s="561"/>
      <c r="E53" s="561"/>
      <c r="F53" s="561"/>
      <c r="G53" s="561"/>
      <c r="H53" s="561"/>
      <c r="I53" s="561"/>
      <c r="J53" s="561"/>
      <c r="K53" s="561"/>
      <c r="L53" s="561"/>
      <c r="M53" s="561"/>
      <c r="N53" s="561"/>
      <c r="O53" s="562"/>
    </row>
    <row r="54" spans="1:16" s="560" customFormat="1" ht="18.75" x14ac:dyDescent="0.25">
      <c r="B54" s="558" t="s">
        <v>872</v>
      </c>
      <c r="C54" s="561">
        <f>C41*1.25%</f>
        <v>144.44861112500001</v>
      </c>
      <c r="D54" s="561">
        <f t="shared" ref="D54:N54" si="3">D53*1.25%</f>
        <v>0</v>
      </c>
      <c r="E54" s="561">
        <f t="shared" si="3"/>
        <v>0</v>
      </c>
      <c r="F54" s="561">
        <f t="shared" si="3"/>
        <v>0</v>
      </c>
      <c r="G54" s="561">
        <f t="shared" si="3"/>
        <v>0</v>
      </c>
      <c r="H54" s="561">
        <f t="shared" si="3"/>
        <v>0</v>
      </c>
      <c r="I54" s="561">
        <f t="shared" si="3"/>
        <v>0</v>
      </c>
      <c r="J54" s="561">
        <f t="shared" si="3"/>
        <v>0</v>
      </c>
      <c r="K54" s="561">
        <f t="shared" si="3"/>
        <v>0</v>
      </c>
      <c r="L54" s="561">
        <f t="shared" si="3"/>
        <v>0</v>
      </c>
      <c r="M54" s="561">
        <f t="shared" si="3"/>
        <v>0</v>
      </c>
      <c r="N54" s="561">
        <f t="shared" si="3"/>
        <v>0</v>
      </c>
      <c r="O54" s="562"/>
    </row>
    <row r="55" spans="1:16" s="560" customFormat="1" ht="18.75" x14ac:dyDescent="0.25">
      <c r="B55" s="558" t="s">
        <v>1406</v>
      </c>
      <c r="C55" s="561">
        <v>0</v>
      </c>
      <c r="D55" s="561">
        <v>0</v>
      </c>
      <c r="E55" s="561">
        <v>0</v>
      </c>
      <c r="F55" s="561">
        <v>0</v>
      </c>
      <c r="G55" s="561">
        <v>0</v>
      </c>
      <c r="H55" s="561">
        <v>0</v>
      </c>
      <c r="I55" s="561">
        <v>0</v>
      </c>
      <c r="J55" s="561">
        <v>0</v>
      </c>
      <c r="K55" s="561">
        <v>0</v>
      </c>
      <c r="L55" s="561">
        <v>0</v>
      </c>
      <c r="M55" s="561">
        <v>0</v>
      </c>
      <c r="N55" s="561">
        <v>0</v>
      </c>
      <c r="O55" s="562"/>
    </row>
    <row r="56" spans="1:16" s="560" customFormat="1" ht="18.75" x14ac:dyDescent="0.25">
      <c r="B56" s="559" t="s">
        <v>139</v>
      </c>
      <c r="C56" s="565">
        <f>ROUND(C57,0)</f>
        <v>1936</v>
      </c>
      <c r="D56" s="565" t="e">
        <f t="shared" ref="D56:N56" si="4">ROUND(D57,0)</f>
        <v>#N/A</v>
      </c>
      <c r="E56" s="565" t="e">
        <f t="shared" si="4"/>
        <v>#N/A</v>
      </c>
      <c r="F56" s="565" t="e">
        <f t="shared" si="4"/>
        <v>#N/A</v>
      </c>
      <c r="G56" s="565" t="e">
        <f t="shared" si="4"/>
        <v>#N/A</v>
      </c>
      <c r="H56" s="565" t="e">
        <f t="shared" si="4"/>
        <v>#N/A</v>
      </c>
      <c r="I56" s="565" t="e">
        <f t="shared" si="4"/>
        <v>#N/A</v>
      </c>
      <c r="J56" s="565" t="e">
        <f t="shared" si="4"/>
        <v>#N/A</v>
      </c>
      <c r="K56" s="565" t="e">
        <f t="shared" si="4"/>
        <v>#N/A</v>
      </c>
      <c r="L56" s="565" t="e">
        <f t="shared" si="4"/>
        <v>#N/A</v>
      </c>
      <c r="M56" s="565" t="e">
        <f t="shared" si="4"/>
        <v>#N/A</v>
      </c>
      <c r="N56" s="565" t="e">
        <f t="shared" si="4"/>
        <v>#N/A</v>
      </c>
      <c r="O56" s="562"/>
    </row>
    <row r="57" spans="1:16" ht="21" hidden="1" x14ac:dyDescent="0.45">
      <c r="B57" s="128" t="s">
        <v>139</v>
      </c>
      <c r="C57" s="186">
        <f>C52-C54-C55</f>
        <v>1935.611389075</v>
      </c>
      <c r="D57" s="186" t="e">
        <f t="shared" ref="D57:N57" si="5">D52-D54-D55</f>
        <v>#N/A</v>
      </c>
      <c r="E57" s="186" t="e">
        <f t="shared" si="5"/>
        <v>#N/A</v>
      </c>
      <c r="F57" s="186" t="e">
        <f t="shared" si="5"/>
        <v>#N/A</v>
      </c>
      <c r="G57" s="186" t="e">
        <f t="shared" si="5"/>
        <v>#N/A</v>
      </c>
      <c r="H57" s="186" t="e">
        <f t="shared" si="5"/>
        <v>#N/A</v>
      </c>
      <c r="I57" s="186" t="e">
        <f t="shared" si="5"/>
        <v>#N/A</v>
      </c>
      <c r="J57" s="186" t="e">
        <f t="shared" si="5"/>
        <v>#N/A</v>
      </c>
      <c r="K57" s="186" t="e">
        <f t="shared" si="5"/>
        <v>#N/A</v>
      </c>
      <c r="L57" s="186" t="e">
        <f t="shared" si="5"/>
        <v>#N/A</v>
      </c>
      <c r="M57" s="186" t="e">
        <f t="shared" si="5"/>
        <v>#N/A</v>
      </c>
      <c r="N57" s="186" t="e">
        <f t="shared" si="5"/>
        <v>#N/A</v>
      </c>
      <c r="O57" s="16"/>
    </row>
    <row r="59" spans="1:16" s="126" customFormat="1" x14ac:dyDescent="0.25"/>
    <row r="60" spans="1:16" s="126" customFormat="1" ht="28.5" x14ac:dyDescent="0.45">
      <c r="B60" s="587"/>
      <c r="C60" s="587"/>
      <c r="D60" s="587"/>
    </row>
    <row r="61" spans="1:16" ht="15" customHeight="1" x14ac:dyDescent="0.3">
      <c r="A61" s="126"/>
      <c r="B61" s="531"/>
      <c r="C61" s="531"/>
      <c r="D61" s="588"/>
    </row>
    <row r="62" spans="1:16" ht="18.75" x14ac:dyDescent="0.3">
      <c r="A62" s="126"/>
      <c r="B62" s="531"/>
      <c r="C62" s="531"/>
      <c r="D62" s="588"/>
    </row>
    <row r="63" spans="1:16" ht="21" x14ac:dyDescent="0.35">
      <c r="A63" s="126"/>
      <c r="B63" s="531"/>
      <c r="C63" s="531"/>
      <c r="D63" s="589"/>
    </row>
    <row r="64" spans="1:16" ht="21" x14ac:dyDescent="0.35">
      <c r="A64" s="126"/>
      <c r="B64" s="531"/>
      <c r="C64" s="531"/>
      <c r="D64" s="590"/>
    </row>
    <row r="70" spans="4:15" x14ac:dyDescent="0.25">
      <c r="D70" s="406"/>
      <c r="E70" s="406"/>
      <c r="F70" s="406"/>
      <c r="G70" s="406"/>
      <c r="H70" s="406"/>
    </row>
    <row r="71" spans="4:15" x14ac:dyDescent="0.25">
      <c r="D71" s="406"/>
      <c r="E71" s="406"/>
      <c r="F71" s="406"/>
      <c r="G71" s="406"/>
      <c r="H71" s="406"/>
    </row>
    <row r="72" spans="4:15" x14ac:dyDescent="0.25">
      <c r="D72" s="406"/>
      <c r="E72" s="406"/>
      <c r="F72" s="406"/>
      <c r="G72" s="406"/>
      <c r="H72" s="406"/>
    </row>
    <row r="73" spans="4:15" x14ac:dyDescent="0.25">
      <c r="D73" s="406"/>
      <c r="E73" s="406"/>
      <c r="F73" s="406"/>
      <c r="G73" s="406"/>
      <c r="H73" s="406"/>
    </row>
    <row r="76" spans="4:15" x14ac:dyDescent="0.25">
      <c r="E76" s="126"/>
      <c r="F76" s="126"/>
      <c r="G76" s="126"/>
      <c r="H76" s="126"/>
      <c r="J76" s="126"/>
      <c r="K76" s="126"/>
      <c r="L76" s="126"/>
      <c r="M76" s="126"/>
      <c r="N76" s="126"/>
      <c r="O76" s="126"/>
    </row>
    <row r="77" spans="4:15" x14ac:dyDescent="0.25">
      <c r="H77" s="126"/>
      <c r="J77" s="126"/>
      <c r="K77" s="126"/>
      <c r="L77" s="126"/>
      <c r="M77" s="126"/>
      <c r="N77" s="126"/>
      <c r="O77" s="126"/>
    </row>
  </sheetData>
  <mergeCells count="28">
    <mergeCell ref="B61:C61"/>
    <mergeCell ref="B62:C62"/>
    <mergeCell ref="B63:C63"/>
    <mergeCell ref="B64:C64"/>
    <mergeCell ref="B60:D60"/>
    <mergeCell ref="D36:F36"/>
    <mergeCell ref="G27:K28"/>
    <mergeCell ref="B39:I39"/>
    <mergeCell ref="D44:N44"/>
    <mergeCell ref="F34:F35"/>
    <mergeCell ref="D31:E31"/>
    <mergeCell ref="D32:E32"/>
    <mergeCell ref="D33:E33"/>
    <mergeCell ref="D70:H73"/>
    <mergeCell ref="B3:K3"/>
    <mergeCell ref="B44:C44"/>
    <mergeCell ref="B31:C31"/>
    <mergeCell ref="B32:C32"/>
    <mergeCell ref="B33:C33"/>
    <mergeCell ref="D28:E28"/>
    <mergeCell ref="D29:E29"/>
    <mergeCell ref="D30:E30"/>
    <mergeCell ref="B24:E27"/>
    <mergeCell ref="B28:C28"/>
    <mergeCell ref="B29:C29"/>
    <mergeCell ref="B30:C30"/>
    <mergeCell ref="B22:E23"/>
    <mergeCell ref="G24:K25"/>
  </mergeCells>
  <hyperlinks>
    <hyperlink ref="D37" r:id="rId1" display="https://www.youtube.com/watch?v=p4dXfU9Gm4k&amp;t=12s"/>
  </hyperlinks>
  <pageMargins left="0.7" right="0.7" top="0.75" bottom="0.75" header="0.3" footer="0.3"/>
  <pageSetup orientation="portrait" horizontalDpi="4294967293"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Normal="100" workbookViewId="0">
      <selection sqref="A1:XFD2"/>
    </sheetView>
  </sheetViews>
  <sheetFormatPr baseColWidth="10" defaultColWidth="9.140625" defaultRowHeight="15" x14ac:dyDescent="0.25"/>
  <cols>
    <col min="1" max="1" width="9.85546875" style="126" customWidth="1"/>
    <col min="2" max="2" width="29.28515625" style="126" bestFit="1" customWidth="1"/>
    <col min="3" max="3" width="15" style="126" bestFit="1" customWidth="1"/>
    <col min="4" max="4" width="13.140625" style="126" customWidth="1"/>
    <col min="5" max="15" width="12.140625" style="126" customWidth="1"/>
    <col min="16" max="256" width="9.140625" style="126"/>
    <col min="257" max="257" width="13" style="126" customWidth="1"/>
    <col min="258" max="258" width="27.42578125" style="126" bestFit="1" customWidth="1"/>
    <col min="259" max="259" width="12.28515625" style="126" bestFit="1" customWidth="1"/>
    <col min="260" max="270" width="11.42578125" style="126" customWidth="1"/>
    <col min="271" max="271" width="12.28515625" style="126" bestFit="1" customWidth="1"/>
    <col min="272" max="512" width="9.140625" style="126"/>
    <col min="513" max="513" width="13" style="126" customWidth="1"/>
    <col min="514" max="514" width="27.42578125" style="126" bestFit="1" customWidth="1"/>
    <col min="515" max="515" width="12.28515625" style="126" bestFit="1" customWidth="1"/>
    <col min="516" max="526" width="11.42578125" style="126" customWidth="1"/>
    <col min="527" max="527" width="12.28515625" style="126" bestFit="1" customWidth="1"/>
    <col min="528" max="768" width="9.140625" style="126"/>
    <col min="769" max="769" width="13" style="126" customWidth="1"/>
    <col min="770" max="770" width="27.42578125" style="126" bestFit="1" customWidth="1"/>
    <col min="771" max="771" width="12.28515625" style="126" bestFit="1" customWidth="1"/>
    <col min="772" max="782" width="11.42578125" style="126" customWidth="1"/>
    <col min="783" max="783" width="12.28515625" style="126" bestFit="1" customWidth="1"/>
    <col min="784" max="1024" width="9.140625" style="126"/>
    <col min="1025" max="1025" width="13" style="126" customWidth="1"/>
    <col min="1026" max="1026" width="27.42578125" style="126" bestFit="1" customWidth="1"/>
    <col min="1027" max="1027" width="12.28515625" style="126" bestFit="1" customWidth="1"/>
    <col min="1028" max="1038" width="11.42578125" style="126" customWidth="1"/>
    <col min="1039" max="1039" width="12.28515625" style="126" bestFit="1" customWidth="1"/>
    <col min="1040" max="1280" width="9.140625" style="126"/>
    <col min="1281" max="1281" width="13" style="126" customWidth="1"/>
    <col min="1282" max="1282" width="27.42578125" style="126" bestFit="1" customWidth="1"/>
    <col min="1283" max="1283" width="12.28515625" style="126" bestFit="1" customWidth="1"/>
    <col min="1284" max="1294" width="11.42578125" style="126" customWidth="1"/>
    <col min="1295" max="1295" width="12.28515625" style="126" bestFit="1" customWidth="1"/>
    <col min="1296" max="1536" width="9.140625" style="126"/>
    <col min="1537" max="1537" width="13" style="126" customWidth="1"/>
    <col min="1538" max="1538" width="27.42578125" style="126" bestFit="1" customWidth="1"/>
    <col min="1539" max="1539" width="12.28515625" style="126" bestFit="1" customWidth="1"/>
    <col min="1540" max="1550" width="11.42578125" style="126" customWidth="1"/>
    <col min="1551" max="1551" width="12.28515625" style="126" bestFit="1" customWidth="1"/>
    <col min="1552" max="1792" width="9.140625" style="126"/>
    <col min="1793" max="1793" width="13" style="126" customWidth="1"/>
    <col min="1794" max="1794" width="27.42578125" style="126" bestFit="1" customWidth="1"/>
    <col min="1795" max="1795" width="12.28515625" style="126" bestFit="1" customWidth="1"/>
    <col min="1796" max="1806" width="11.42578125" style="126" customWidth="1"/>
    <col min="1807" max="1807" width="12.28515625" style="126" bestFit="1" customWidth="1"/>
    <col min="1808" max="2048" width="9.140625" style="126"/>
    <col min="2049" max="2049" width="13" style="126" customWidth="1"/>
    <col min="2050" max="2050" width="27.42578125" style="126" bestFit="1" customWidth="1"/>
    <col min="2051" max="2051" width="12.28515625" style="126" bestFit="1" customWidth="1"/>
    <col min="2052" max="2062" width="11.42578125" style="126" customWidth="1"/>
    <col min="2063" max="2063" width="12.28515625" style="126" bestFit="1" customWidth="1"/>
    <col min="2064" max="2304" width="9.140625" style="126"/>
    <col min="2305" max="2305" width="13" style="126" customWidth="1"/>
    <col min="2306" max="2306" width="27.42578125" style="126" bestFit="1" customWidth="1"/>
    <col min="2307" max="2307" width="12.28515625" style="126" bestFit="1" customWidth="1"/>
    <col min="2308" max="2318" width="11.42578125" style="126" customWidth="1"/>
    <col min="2319" max="2319" width="12.28515625" style="126" bestFit="1" customWidth="1"/>
    <col min="2320" max="2560" width="9.140625" style="126"/>
    <col min="2561" max="2561" width="13" style="126" customWidth="1"/>
    <col min="2562" max="2562" width="27.42578125" style="126" bestFit="1" customWidth="1"/>
    <col min="2563" max="2563" width="12.28515625" style="126" bestFit="1" customWidth="1"/>
    <col min="2564" max="2574" width="11.42578125" style="126" customWidth="1"/>
    <col min="2575" max="2575" width="12.28515625" style="126" bestFit="1" customWidth="1"/>
    <col min="2576" max="2816" width="9.140625" style="126"/>
    <col min="2817" max="2817" width="13" style="126" customWidth="1"/>
    <col min="2818" max="2818" width="27.42578125" style="126" bestFit="1" customWidth="1"/>
    <col min="2819" max="2819" width="12.28515625" style="126" bestFit="1" customWidth="1"/>
    <col min="2820" max="2830" width="11.42578125" style="126" customWidth="1"/>
    <col min="2831" max="2831" width="12.28515625" style="126" bestFit="1" customWidth="1"/>
    <col min="2832" max="3072" width="9.140625" style="126"/>
    <col min="3073" max="3073" width="13" style="126" customWidth="1"/>
    <col min="3074" max="3074" width="27.42578125" style="126" bestFit="1" customWidth="1"/>
    <col min="3075" max="3075" width="12.28515625" style="126" bestFit="1" customWidth="1"/>
    <col min="3076" max="3086" width="11.42578125" style="126" customWidth="1"/>
    <col min="3087" max="3087" width="12.28515625" style="126" bestFit="1" customWidth="1"/>
    <col min="3088" max="3328" width="9.140625" style="126"/>
    <col min="3329" max="3329" width="13" style="126" customWidth="1"/>
    <col min="3330" max="3330" width="27.42578125" style="126" bestFit="1" customWidth="1"/>
    <col min="3331" max="3331" width="12.28515625" style="126" bestFit="1" customWidth="1"/>
    <col min="3332" max="3342" width="11.42578125" style="126" customWidth="1"/>
    <col min="3343" max="3343" width="12.28515625" style="126" bestFit="1" customWidth="1"/>
    <col min="3344" max="3584" width="9.140625" style="126"/>
    <col min="3585" max="3585" width="13" style="126" customWidth="1"/>
    <col min="3586" max="3586" width="27.42578125" style="126" bestFit="1" customWidth="1"/>
    <col min="3587" max="3587" width="12.28515625" style="126" bestFit="1" customWidth="1"/>
    <col min="3588" max="3598" width="11.42578125" style="126" customWidth="1"/>
    <col min="3599" max="3599" width="12.28515625" style="126" bestFit="1" customWidth="1"/>
    <col min="3600" max="3840" width="9.140625" style="126"/>
    <col min="3841" max="3841" width="13" style="126" customWidth="1"/>
    <col min="3842" max="3842" width="27.42578125" style="126" bestFit="1" customWidth="1"/>
    <col min="3843" max="3843" width="12.28515625" style="126" bestFit="1" customWidth="1"/>
    <col min="3844" max="3854" width="11.42578125" style="126" customWidth="1"/>
    <col min="3855" max="3855" width="12.28515625" style="126" bestFit="1" customWidth="1"/>
    <col min="3856" max="4096" width="9.140625" style="126"/>
    <col min="4097" max="4097" width="13" style="126" customWidth="1"/>
    <col min="4098" max="4098" width="27.42578125" style="126" bestFit="1" customWidth="1"/>
    <col min="4099" max="4099" width="12.28515625" style="126" bestFit="1" customWidth="1"/>
    <col min="4100" max="4110" width="11.42578125" style="126" customWidth="1"/>
    <col min="4111" max="4111" width="12.28515625" style="126" bestFit="1" customWidth="1"/>
    <col min="4112" max="4352" width="9.140625" style="126"/>
    <col min="4353" max="4353" width="13" style="126" customWidth="1"/>
    <col min="4354" max="4354" width="27.42578125" style="126" bestFit="1" customWidth="1"/>
    <col min="4355" max="4355" width="12.28515625" style="126" bestFit="1" customWidth="1"/>
    <col min="4356" max="4366" width="11.42578125" style="126" customWidth="1"/>
    <col min="4367" max="4367" width="12.28515625" style="126" bestFit="1" customWidth="1"/>
    <col min="4368" max="4608" width="9.140625" style="126"/>
    <col min="4609" max="4609" width="13" style="126" customWidth="1"/>
    <col min="4610" max="4610" width="27.42578125" style="126" bestFit="1" customWidth="1"/>
    <col min="4611" max="4611" width="12.28515625" style="126" bestFit="1" customWidth="1"/>
    <col min="4612" max="4622" width="11.42578125" style="126" customWidth="1"/>
    <col min="4623" max="4623" width="12.28515625" style="126" bestFit="1" customWidth="1"/>
    <col min="4624" max="4864" width="9.140625" style="126"/>
    <col min="4865" max="4865" width="13" style="126" customWidth="1"/>
    <col min="4866" max="4866" width="27.42578125" style="126" bestFit="1" customWidth="1"/>
    <col min="4867" max="4867" width="12.28515625" style="126" bestFit="1" customWidth="1"/>
    <col min="4868" max="4878" width="11.42578125" style="126" customWidth="1"/>
    <col min="4879" max="4879" width="12.28515625" style="126" bestFit="1" customWidth="1"/>
    <col min="4880" max="5120" width="9.140625" style="126"/>
    <col min="5121" max="5121" width="13" style="126" customWidth="1"/>
    <col min="5122" max="5122" width="27.42578125" style="126" bestFit="1" customWidth="1"/>
    <col min="5123" max="5123" width="12.28515625" style="126" bestFit="1" customWidth="1"/>
    <col min="5124" max="5134" width="11.42578125" style="126" customWidth="1"/>
    <col min="5135" max="5135" width="12.28515625" style="126" bestFit="1" customWidth="1"/>
    <col min="5136" max="5376" width="9.140625" style="126"/>
    <col min="5377" max="5377" width="13" style="126" customWidth="1"/>
    <col min="5378" max="5378" width="27.42578125" style="126" bestFit="1" customWidth="1"/>
    <col min="5379" max="5379" width="12.28515625" style="126" bestFit="1" customWidth="1"/>
    <col min="5380" max="5390" width="11.42578125" style="126" customWidth="1"/>
    <col min="5391" max="5391" width="12.28515625" style="126" bestFit="1" customWidth="1"/>
    <col min="5392" max="5632" width="9.140625" style="126"/>
    <col min="5633" max="5633" width="13" style="126" customWidth="1"/>
    <col min="5634" max="5634" width="27.42578125" style="126" bestFit="1" customWidth="1"/>
    <col min="5635" max="5635" width="12.28515625" style="126" bestFit="1" customWidth="1"/>
    <col min="5636" max="5646" width="11.42578125" style="126" customWidth="1"/>
    <col min="5647" max="5647" width="12.28515625" style="126" bestFit="1" customWidth="1"/>
    <col min="5648" max="5888" width="9.140625" style="126"/>
    <col min="5889" max="5889" width="13" style="126" customWidth="1"/>
    <col min="5890" max="5890" width="27.42578125" style="126" bestFit="1" customWidth="1"/>
    <col min="5891" max="5891" width="12.28515625" style="126" bestFit="1" customWidth="1"/>
    <col min="5892" max="5902" width="11.42578125" style="126" customWidth="1"/>
    <col min="5903" max="5903" width="12.28515625" style="126" bestFit="1" customWidth="1"/>
    <col min="5904" max="6144" width="9.140625" style="126"/>
    <col min="6145" max="6145" width="13" style="126" customWidth="1"/>
    <col min="6146" max="6146" width="27.42578125" style="126" bestFit="1" customWidth="1"/>
    <col min="6147" max="6147" width="12.28515625" style="126" bestFit="1" customWidth="1"/>
    <col min="6148" max="6158" width="11.42578125" style="126" customWidth="1"/>
    <col min="6159" max="6159" width="12.28515625" style="126" bestFit="1" customWidth="1"/>
    <col min="6160" max="6400" width="9.140625" style="126"/>
    <col min="6401" max="6401" width="13" style="126" customWidth="1"/>
    <col min="6402" max="6402" width="27.42578125" style="126" bestFit="1" customWidth="1"/>
    <col min="6403" max="6403" width="12.28515625" style="126" bestFit="1" customWidth="1"/>
    <col min="6404" max="6414" width="11.42578125" style="126" customWidth="1"/>
    <col min="6415" max="6415" width="12.28515625" style="126" bestFit="1" customWidth="1"/>
    <col min="6416" max="6656" width="9.140625" style="126"/>
    <col min="6657" max="6657" width="13" style="126" customWidth="1"/>
    <col min="6658" max="6658" width="27.42578125" style="126" bestFit="1" customWidth="1"/>
    <col min="6659" max="6659" width="12.28515625" style="126" bestFit="1" customWidth="1"/>
    <col min="6660" max="6670" width="11.42578125" style="126" customWidth="1"/>
    <col min="6671" max="6671" width="12.28515625" style="126" bestFit="1" customWidth="1"/>
    <col min="6672" max="6912" width="9.140625" style="126"/>
    <col min="6913" max="6913" width="13" style="126" customWidth="1"/>
    <col min="6914" max="6914" width="27.42578125" style="126" bestFit="1" customWidth="1"/>
    <col min="6915" max="6915" width="12.28515625" style="126" bestFit="1" customWidth="1"/>
    <col min="6916" max="6926" width="11.42578125" style="126" customWidth="1"/>
    <col min="6927" max="6927" width="12.28515625" style="126" bestFit="1" customWidth="1"/>
    <col min="6928" max="7168" width="9.140625" style="126"/>
    <col min="7169" max="7169" width="13" style="126" customWidth="1"/>
    <col min="7170" max="7170" width="27.42578125" style="126" bestFit="1" customWidth="1"/>
    <col min="7171" max="7171" width="12.28515625" style="126" bestFit="1" customWidth="1"/>
    <col min="7172" max="7182" width="11.42578125" style="126" customWidth="1"/>
    <col min="7183" max="7183" width="12.28515625" style="126" bestFit="1" customWidth="1"/>
    <col min="7184" max="7424" width="9.140625" style="126"/>
    <col min="7425" max="7425" width="13" style="126" customWidth="1"/>
    <col min="7426" max="7426" width="27.42578125" style="126" bestFit="1" customWidth="1"/>
    <col min="7427" max="7427" width="12.28515625" style="126" bestFit="1" customWidth="1"/>
    <col min="7428" max="7438" width="11.42578125" style="126" customWidth="1"/>
    <col min="7439" max="7439" width="12.28515625" style="126" bestFit="1" customWidth="1"/>
    <col min="7440" max="7680" width="9.140625" style="126"/>
    <col min="7681" max="7681" width="13" style="126" customWidth="1"/>
    <col min="7682" max="7682" width="27.42578125" style="126" bestFit="1" customWidth="1"/>
    <col min="7683" max="7683" width="12.28515625" style="126" bestFit="1" customWidth="1"/>
    <col min="7684" max="7694" width="11.42578125" style="126" customWidth="1"/>
    <col min="7695" max="7695" width="12.28515625" style="126" bestFit="1" customWidth="1"/>
    <col min="7696" max="7936" width="9.140625" style="126"/>
    <col min="7937" max="7937" width="13" style="126" customWidth="1"/>
    <col min="7938" max="7938" width="27.42578125" style="126" bestFit="1" customWidth="1"/>
    <col min="7939" max="7939" width="12.28515625" style="126" bestFit="1" customWidth="1"/>
    <col min="7940" max="7950" width="11.42578125" style="126" customWidth="1"/>
    <col min="7951" max="7951" width="12.28515625" style="126" bestFit="1" customWidth="1"/>
    <col min="7952" max="8192" width="9.140625" style="126"/>
    <col min="8193" max="8193" width="13" style="126" customWidth="1"/>
    <col min="8194" max="8194" width="27.42578125" style="126" bestFit="1" customWidth="1"/>
    <col min="8195" max="8195" width="12.28515625" style="126" bestFit="1" customWidth="1"/>
    <col min="8196" max="8206" width="11.42578125" style="126" customWidth="1"/>
    <col min="8207" max="8207" width="12.28515625" style="126" bestFit="1" customWidth="1"/>
    <col min="8208" max="8448" width="9.140625" style="126"/>
    <col min="8449" max="8449" width="13" style="126" customWidth="1"/>
    <col min="8450" max="8450" width="27.42578125" style="126" bestFit="1" customWidth="1"/>
    <col min="8451" max="8451" width="12.28515625" style="126" bestFit="1" customWidth="1"/>
    <col min="8452" max="8462" width="11.42578125" style="126" customWidth="1"/>
    <col min="8463" max="8463" width="12.28515625" style="126" bestFit="1" customWidth="1"/>
    <col min="8464" max="8704" width="9.140625" style="126"/>
    <col min="8705" max="8705" width="13" style="126" customWidth="1"/>
    <col min="8706" max="8706" width="27.42578125" style="126" bestFit="1" customWidth="1"/>
    <col min="8707" max="8707" width="12.28515625" style="126" bestFit="1" customWidth="1"/>
    <col min="8708" max="8718" width="11.42578125" style="126" customWidth="1"/>
    <col min="8719" max="8719" width="12.28515625" style="126" bestFit="1" customWidth="1"/>
    <col min="8720" max="8960" width="9.140625" style="126"/>
    <col min="8961" max="8961" width="13" style="126" customWidth="1"/>
    <col min="8962" max="8962" width="27.42578125" style="126" bestFit="1" customWidth="1"/>
    <col min="8963" max="8963" width="12.28515625" style="126" bestFit="1" customWidth="1"/>
    <col min="8964" max="8974" width="11.42578125" style="126" customWidth="1"/>
    <col min="8975" max="8975" width="12.28515625" style="126" bestFit="1" customWidth="1"/>
    <col min="8976" max="9216" width="9.140625" style="126"/>
    <col min="9217" max="9217" width="13" style="126" customWidth="1"/>
    <col min="9218" max="9218" width="27.42578125" style="126" bestFit="1" customWidth="1"/>
    <col min="9219" max="9219" width="12.28515625" style="126" bestFit="1" customWidth="1"/>
    <col min="9220" max="9230" width="11.42578125" style="126" customWidth="1"/>
    <col min="9231" max="9231" width="12.28515625" style="126" bestFit="1" customWidth="1"/>
    <col min="9232" max="9472" width="9.140625" style="126"/>
    <col min="9473" max="9473" width="13" style="126" customWidth="1"/>
    <col min="9474" max="9474" width="27.42578125" style="126" bestFit="1" customWidth="1"/>
    <col min="9475" max="9475" width="12.28515625" style="126" bestFit="1" customWidth="1"/>
    <col min="9476" max="9486" width="11.42578125" style="126" customWidth="1"/>
    <col min="9487" max="9487" width="12.28515625" style="126" bestFit="1" customWidth="1"/>
    <col min="9488" max="9728" width="9.140625" style="126"/>
    <col min="9729" max="9729" width="13" style="126" customWidth="1"/>
    <col min="9730" max="9730" width="27.42578125" style="126" bestFit="1" customWidth="1"/>
    <col min="9731" max="9731" width="12.28515625" style="126" bestFit="1" customWidth="1"/>
    <col min="9732" max="9742" width="11.42578125" style="126" customWidth="1"/>
    <col min="9743" max="9743" width="12.28515625" style="126" bestFit="1" customWidth="1"/>
    <col min="9744" max="9984" width="9.140625" style="126"/>
    <col min="9985" max="9985" width="13" style="126" customWidth="1"/>
    <col min="9986" max="9986" width="27.42578125" style="126" bestFit="1" customWidth="1"/>
    <col min="9987" max="9987" width="12.28515625" style="126" bestFit="1" customWidth="1"/>
    <col min="9988" max="9998" width="11.42578125" style="126" customWidth="1"/>
    <col min="9999" max="9999" width="12.28515625" style="126" bestFit="1" customWidth="1"/>
    <col min="10000" max="10240" width="9.140625" style="126"/>
    <col min="10241" max="10241" width="13" style="126" customWidth="1"/>
    <col min="10242" max="10242" width="27.42578125" style="126" bestFit="1" customWidth="1"/>
    <col min="10243" max="10243" width="12.28515625" style="126" bestFit="1" customWidth="1"/>
    <col min="10244" max="10254" width="11.42578125" style="126" customWidth="1"/>
    <col min="10255" max="10255" width="12.28515625" style="126" bestFit="1" customWidth="1"/>
    <col min="10256" max="10496" width="9.140625" style="126"/>
    <col min="10497" max="10497" width="13" style="126" customWidth="1"/>
    <col min="10498" max="10498" width="27.42578125" style="126" bestFit="1" customWidth="1"/>
    <col min="10499" max="10499" width="12.28515625" style="126" bestFit="1" customWidth="1"/>
    <col min="10500" max="10510" width="11.42578125" style="126" customWidth="1"/>
    <col min="10511" max="10511" width="12.28515625" style="126" bestFit="1" customWidth="1"/>
    <col min="10512" max="10752" width="9.140625" style="126"/>
    <col min="10753" max="10753" width="13" style="126" customWidth="1"/>
    <col min="10754" max="10754" width="27.42578125" style="126" bestFit="1" customWidth="1"/>
    <col min="10755" max="10755" width="12.28515625" style="126" bestFit="1" customWidth="1"/>
    <col min="10756" max="10766" width="11.42578125" style="126" customWidth="1"/>
    <col min="10767" max="10767" width="12.28515625" style="126" bestFit="1" customWidth="1"/>
    <col min="10768" max="11008" width="9.140625" style="126"/>
    <col min="11009" max="11009" width="13" style="126" customWidth="1"/>
    <col min="11010" max="11010" width="27.42578125" style="126" bestFit="1" customWidth="1"/>
    <col min="11011" max="11011" width="12.28515625" style="126" bestFit="1" customWidth="1"/>
    <col min="11012" max="11022" width="11.42578125" style="126" customWidth="1"/>
    <col min="11023" max="11023" width="12.28515625" style="126" bestFit="1" customWidth="1"/>
    <col min="11024" max="11264" width="9.140625" style="126"/>
    <col min="11265" max="11265" width="13" style="126" customWidth="1"/>
    <col min="11266" max="11266" width="27.42578125" style="126" bestFit="1" customWidth="1"/>
    <col min="11267" max="11267" width="12.28515625" style="126" bestFit="1" customWidth="1"/>
    <col min="11268" max="11278" width="11.42578125" style="126" customWidth="1"/>
    <col min="11279" max="11279" width="12.28515625" style="126" bestFit="1" customWidth="1"/>
    <col min="11280" max="11520" width="9.140625" style="126"/>
    <col min="11521" max="11521" width="13" style="126" customWidth="1"/>
    <col min="11522" max="11522" width="27.42578125" style="126" bestFit="1" customWidth="1"/>
    <col min="11523" max="11523" width="12.28515625" style="126" bestFit="1" customWidth="1"/>
    <col min="11524" max="11534" width="11.42578125" style="126" customWidth="1"/>
    <col min="11535" max="11535" width="12.28515625" style="126" bestFit="1" customWidth="1"/>
    <col min="11536" max="11776" width="9.140625" style="126"/>
    <col min="11777" max="11777" width="13" style="126" customWidth="1"/>
    <col min="11778" max="11778" width="27.42578125" style="126" bestFit="1" customWidth="1"/>
    <col min="11779" max="11779" width="12.28515625" style="126" bestFit="1" customWidth="1"/>
    <col min="11780" max="11790" width="11.42578125" style="126" customWidth="1"/>
    <col min="11791" max="11791" width="12.28515625" style="126" bestFit="1" customWidth="1"/>
    <col min="11792" max="12032" width="9.140625" style="126"/>
    <col min="12033" max="12033" width="13" style="126" customWidth="1"/>
    <col min="12034" max="12034" width="27.42578125" style="126" bestFit="1" customWidth="1"/>
    <col min="12035" max="12035" width="12.28515625" style="126" bestFit="1" customWidth="1"/>
    <col min="12036" max="12046" width="11.42578125" style="126" customWidth="1"/>
    <col min="12047" max="12047" width="12.28515625" style="126" bestFit="1" customWidth="1"/>
    <col min="12048" max="12288" width="9.140625" style="126"/>
    <col min="12289" max="12289" width="13" style="126" customWidth="1"/>
    <col min="12290" max="12290" width="27.42578125" style="126" bestFit="1" customWidth="1"/>
    <col min="12291" max="12291" width="12.28515625" style="126" bestFit="1" customWidth="1"/>
    <col min="12292" max="12302" width="11.42578125" style="126" customWidth="1"/>
    <col min="12303" max="12303" width="12.28515625" style="126" bestFit="1" customWidth="1"/>
    <col min="12304" max="12544" width="9.140625" style="126"/>
    <col min="12545" max="12545" width="13" style="126" customWidth="1"/>
    <col min="12546" max="12546" width="27.42578125" style="126" bestFit="1" customWidth="1"/>
    <col min="12547" max="12547" width="12.28515625" style="126" bestFit="1" customWidth="1"/>
    <col min="12548" max="12558" width="11.42578125" style="126" customWidth="1"/>
    <col min="12559" max="12559" width="12.28515625" style="126" bestFit="1" customWidth="1"/>
    <col min="12560" max="12800" width="9.140625" style="126"/>
    <col min="12801" max="12801" width="13" style="126" customWidth="1"/>
    <col min="12802" max="12802" width="27.42578125" style="126" bestFit="1" customWidth="1"/>
    <col min="12803" max="12803" width="12.28515625" style="126" bestFit="1" customWidth="1"/>
    <col min="12804" max="12814" width="11.42578125" style="126" customWidth="1"/>
    <col min="12815" max="12815" width="12.28515625" style="126" bestFit="1" customWidth="1"/>
    <col min="12816" max="13056" width="9.140625" style="126"/>
    <col min="13057" max="13057" width="13" style="126" customWidth="1"/>
    <col min="13058" max="13058" width="27.42578125" style="126" bestFit="1" customWidth="1"/>
    <col min="13059" max="13059" width="12.28515625" style="126" bestFit="1" customWidth="1"/>
    <col min="13060" max="13070" width="11.42578125" style="126" customWidth="1"/>
    <col min="13071" max="13071" width="12.28515625" style="126" bestFit="1" customWidth="1"/>
    <col min="13072" max="13312" width="9.140625" style="126"/>
    <col min="13313" max="13313" width="13" style="126" customWidth="1"/>
    <col min="13314" max="13314" width="27.42578125" style="126" bestFit="1" customWidth="1"/>
    <col min="13315" max="13315" width="12.28515625" style="126" bestFit="1" customWidth="1"/>
    <col min="13316" max="13326" width="11.42578125" style="126" customWidth="1"/>
    <col min="13327" max="13327" width="12.28515625" style="126" bestFit="1" customWidth="1"/>
    <col min="13328" max="13568" width="9.140625" style="126"/>
    <col min="13569" max="13569" width="13" style="126" customWidth="1"/>
    <col min="13570" max="13570" width="27.42578125" style="126" bestFit="1" customWidth="1"/>
    <col min="13571" max="13571" width="12.28515625" style="126" bestFit="1" customWidth="1"/>
    <col min="13572" max="13582" width="11.42578125" style="126" customWidth="1"/>
    <col min="13583" max="13583" width="12.28515625" style="126" bestFit="1" customWidth="1"/>
    <col min="13584" max="13824" width="9.140625" style="126"/>
    <col min="13825" max="13825" width="13" style="126" customWidth="1"/>
    <col min="13826" max="13826" width="27.42578125" style="126" bestFit="1" customWidth="1"/>
    <col min="13827" max="13827" width="12.28515625" style="126" bestFit="1" customWidth="1"/>
    <col min="13828" max="13838" width="11.42578125" style="126" customWidth="1"/>
    <col min="13839" max="13839" width="12.28515625" style="126" bestFit="1" customWidth="1"/>
    <col min="13840" max="14080" width="9.140625" style="126"/>
    <col min="14081" max="14081" width="13" style="126" customWidth="1"/>
    <col min="14082" max="14082" width="27.42578125" style="126" bestFit="1" customWidth="1"/>
    <col min="14083" max="14083" width="12.28515625" style="126" bestFit="1" customWidth="1"/>
    <col min="14084" max="14094" width="11.42578125" style="126" customWidth="1"/>
    <col min="14095" max="14095" width="12.28515625" style="126" bestFit="1" customWidth="1"/>
    <col min="14096" max="14336" width="9.140625" style="126"/>
    <col min="14337" max="14337" width="13" style="126" customWidth="1"/>
    <col min="14338" max="14338" width="27.42578125" style="126" bestFit="1" customWidth="1"/>
    <col min="14339" max="14339" width="12.28515625" style="126" bestFit="1" customWidth="1"/>
    <col min="14340" max="14350" width="11.42578125" style="126" customWidth="1"/>
    <col min="14351" max="14351" width="12.28515625" style="126" bestFit="1" customWidth="1"/>
    <col min="14352" max="14592" width="9.140625" style="126"/>
    <col min="14593" max="14593" width="13" style="126" customWidth="1"/>
    <col min="14594" max="14594" width="27.42578125" style="126" bestFit="1" customWidth="1"/>
    <col min="14595" max="14595" width="12.28515625" style="126" bestFit="1" customWidth="1"/>
    <col min="14596" max="14606" width="11.42578125" style="126" customWidth="1"/>
    <col min="14607" max="14607" width="12.28515625" style="126" bestFit="1" customWidth="1"/>
    <col min="14608" max="14848" width="9.140625" style="126"/>
    <col min="14849" max="14849" width="13" style="126" customWidth="1"/>
    <col min="14850" max="14850" width="27.42578125" style="126" bestFit="1" customWidth="1"/>
    <col min="14851" max="14851" width="12.28515625" style="126" bestFit="1" customWidth="1"/>
    <col min="14852" max="14862" width="11.42578125" style="126" customWidth="1"/>
    <col min="14863" max="14863" width="12.28515625" style="126" bestFit="1" customWidth="1"/>
    <col min="14864" max="15104" width="9.140625" style="126"/>
    <col min="15105" max="15105" width="13" style="126" customWidth="1"/>
    <col min="15106" max="15106" width="27.42578125" style="126" bestFit="1" customWidth="1"/>
    <col min="15107" max="15107" width="12.28515625" style="126" bestFit="1" customWidth="1"/>
    <col min="15108" max="15118" width="11.42578125" style="126" customWidth="1"/>
    <col min="15119" max="15119" width="12.28515625" style="126" bestFit="1" customWidth="1"/>
    <col min="15120" max="15360" width="9.140625" style="126"/>
    <col min="15361" max="15361" width="13" style="126" customWidth="1"/>
    <col min="15362" max="15362" width="27.42578125" style="126" bestFit="1" customWidth="1"/>
    <col min="15363" max="15363" width="12.28515625" style="126" bestFit="1" customWidth="1"/>
    <col min="15364" max="15374" width="11.42578125" style="126" customWidth="1"/>
    <col min="15375" max="15375" width="12.28515625" style="126" bestFit="1" customWidth="1"/>
    <col min="15376" max="15616" width="9.140625" style="126"/>
    <col min="15617" max="15617" width="13" style="126" customWidth="1"/>
    <col min="15618" max="15618" width="27.42578125" style="126" bestFit="1" customWidth="1"/>
    <col min="15619" max="15619" width="12.28515625" style="126" bestFit="1" customWidth="1"/>
    <col min="15620" max="15630" width="11.42578125" style="126" customWidth="1"/>
    <col min="15631" max="15631" width="12.28515625" style="126" bestFit="1" customWidth="1"/>
    <col min="15632" max="15872" width="9.140625" style="126"/>
    <col min="15873" max="15873" width="13" style="126" customWidth="1"/>
    <col min="15874" max="15874" width="27.42578125" style="126" bestFit="1" customWidth="1"/>
    <col min="15875" max="15875" width="12.28515625" style="126" bestFit="1" customWidth="1"/>
    <col min="15876" max="15886" width="11.42578125" style="126" customWidth="1"/>
    <col min="15887" max="15887" width="12.28515625" style="126" bestFit="1" customWidth="1"/>
    <col min="15888" max="16128" width="9.140625" style="126"/>
    <col min="16129" max="16129" width="13" style="126" customWidth="1"/>
    <col min="16130" max="16130" width="27.42578125" style="126" bestFit="1" customWidth="1"/>
    <col min="16131" max="16131" width="12.28515625" style="126" bestFit="1" customWidth="1"/>
    <col min="16132" max="16142" width="11.42578125" style="126" customWidth="1"/>
    <col min="16143" max="16143" width="12.28515625" style="126" bestFit="1" customWidth="1"/>
    <col min="16144" max="16384" width="9.140625" style="126"/>
  </cols>
  <sheetData>
    <row r="1" spans="1:16" ht="24.75" customHeight="1" x14ac:dyDescent="0.25">
      <c r="A1" s="127"/>
      <c r="B1" s="124"/>
      <c r="C1" s="124"/>
      <c r="D1" s="592" t="s">
        <v>1573</v>
      </c>
      <c r="E1" s="592"/>
      <c r="F1" s="592"/>
      <c r="G1" s="592"/>
      <c r="H1" s="592"/>
    </row>
    <row r="2" spans="1:16" x14ac:dyDescent="0.25">
      <c r="A2" s="127"/>
      <c r="B2" s="124"/>
      <c r="C2" s="124"/>
      <c r="D2" s="585" t="s">
        <v>1572</v>
      </c>
      <c r="E2" s="125"/>
    </row>
    <row r="3" spans="1:16" s="71" customFormat="1" ht="14.45" customHeight="1" x14ac:dyDescent="0.2">
      <c r="A3" s="572" t="s">
        <v>1500</v>
      </c>
      <c r="B3" s="572"/>
      <c r="C3" s="572"/>
      <c r="D3" s="572"/>
      <c r="E3" s="572"/>
      <c r="F3" s="572"/>
      <c r="G3" s="572"/>
      <c r="H3" s="572"/>
      <c r="I3" s="572"/>
      <c r="J3" s="572"/>
      <c r="K3" s="572"/>
      <c r="L3" s="572"/>
      <c r="M3" s="572"/>
      <c r="N3" s="572"/>
    </row>
    <row r="4" spans="1:16" x14ac:dyDescent="0.25">
      <c r="N4" s="126" t="s">
        <v>65</v>
      </c>
    </row>
    <row r="5" spans="1:16" ht="24" x14ac:dyDescent="0.25">
      <c r="A5" s="58" t="s">
        <v>66</v>
      </c>
      <c r="B5" s="58" t="s">
        <v>67</v>
      </c>
      <c r="C5" s="58" t="s">
        <v>68</v>
      </c>
      <c r="D5" s="58" t="s">
        <v>69</v>
      </c>
      <c r="E5" s="58" t="s">
        <v>70</v>
      </c>
      <c r="F5" s="58" t="s">
        <v>71</v>
      </c>
      <c r="G5" s="58" t="s">
        <v>72</v>
      </c>
      <c r="H5" s="58" t="s">
        <v>73</v>
      </c>
      <c r="I5" s="58" t="s">
        <v>74</v>
      </c>
      <c r="J5" s="58" t="s">
        <v>75</v>
      </c>
      <c r="K5" s="58" t="s">
        <v>76</v>
      </c>
      <c r="L5" s="58" t="s">
        <v>77</v>
      </c>
      <c r="M5" s="58" t="s">
        <v>78</v>
      </c>
      <c r="N5" s="58" t="s">
        <v>79</v>
      </c>
      <c r="O5" s="58" t="s">
        <v>80</v>
      </c>
      <c r="P5" s="117"/>
    </row>
    <row r="6" spans="1:16" x14ac:dyDescent="0.25">
      <c r="C6" s="58">
        <v>1</v>
      </c>
      <c r="D6" s="58">
        <v>2</v>
      </c>
      <c r="E6" s="58">
        <v>3</v>
      </c>
      <c r="F6" s="58">
        <v>4</v>
      </c>
      <c r="G6" s="58">
        <v>5</v>
      </c>
      <c r="H6" s="58">
        <v>6</v>
      </c>
      <c r="I6" s="58">
        <v>7</v>
      </c>
      <c r="J6" s="58">
        <v>8</v>
      </c>
      <c r="K6" s="58">
        <v>9</v>
      </c>
      <c r="L6" s="58">
        <v>10</v>
      </c>
      <c r="M6" s="58">
        <v>11</v>
      </c>
      <c r="N6" s="58">
        <v>12</v>
      </c>
    </row>
    <row r="7" spans="1:16" x14ac:dyDescent="0.25">
      <c r="A7" s="60"/>
      <c r="C7" s="61"/>
      <c r="D7" s="61"/>
      <c r="E7" s="61"/>
      <c r="F7" s="61"/>
      <c r="G7" s="61"/>
      <c r="H7" s="61"/>
      <c r="I7" s="61"/>
      <c r="J7" s="61"/>
      <c r="K7" s="61"/>
      <c r="L7" s="61"/>
      <c r="M7" s="61"/>
      <c r="N7" s="61"/>
      <c r="O7" s="61"/>
    </row>
    <row r="8" spans="1:16" x14ac:dyDescent="0.25">
      <c r="A8" s="126" t="s">
        <v>65</v>
      </c>
      <c r="B8" s="3" t="s">
        <v>81</v>
      </c>
      <c r="D8" s="62"/>
      <c r="E8" s="62"/>
      <c r="F8" s="62"/>
      <c r="G8" s="62"/>
      <c r="H8" s="62"/>
      <c r="I8" s="62"/>
      <c r="J8" s="62"/>
      <c r="K8" s="62"/>
      <c r="L8" s="62"/>
      <c r="M8" s="61"/>
      <c r="N8" s="61"/>
      <c r="O8" s="61"/>
    </row>
    <row r="9" spans="1:16" s="72" customFormat="1" x14ac:dyDescent="0.25">
      <c r="A9" s="115">
        <v>12</v>
      </c>
      <c r="B9" s="575" t="s">
        <v>888</v>
      </c>
      <c r="C9" s="576">
        <v>104003</v>
      </c>
      <c r="D9" s="576">
        <v>0</v>
      </c>
      <c r="E9" s="576">
        <v>0</v>
      </c>
      <c r="F9" s="576">
        <v>0</v>
      </c>
      <c r="G9" s="576">
        <v>0</v>
      </c>
      <c r="H9" s="576">
        <v>0</v>
      </c>
      <c r="I9" s="576">
        <v>0</v>
      </c>
      <c r="J9" s="576">
        <v>0</v>
      </c>
      <c r="K9" s="576">
        <v>0</v>
      </c>
      <c r="L9" s="576">
        <v>0</v>
      </c>
      <c r="M9" s="576">
        <v>0</v>
      </c>
      <c r="N9" s="576">
        <v>0</v>
      </c>
      <c r="O9" s="576">
        <f t="shared" ref="O9:O16" si="0">SUM(C9:N9)</f>
        <v>104003</v>
      </c>
      <c r="P9" s="575" t="s">
        <v>65</v>
      </c>
    </row>
    <row r="10" spans="1:16" hidden="1" x14ac:dyDescent="0.25">
      <c r="A10" s="115">
        <v>13</v>
      </c>
      <c r="B10" s="126" t="s">
        <v>889</v>
      </c>
      <c r="C10" s="61">
        <v>0</v>
      </c>
      <c r="D10" s="61">
        <v>0</v>
      </c>
      <c r="E10" s="61">
        <v>0</v>
      </c>
      <c r="F10" s="61">
        <v>0</v>
      </c>
      <c r="G10" s="61">
        <v>0</v>
      </c>
      <c r="H10" s="61">
        <v>0</v>
      </c>
      <c r="I10" s="61">
        <v>0</v>
      </c>
      <c r="J10" s="61">
        <v>0</v>
      </c>
      <c r="K10" s="61">
        <v>0</v>
      </c>
      <c r="L10" s="61">
        <v>0</v>
      </c>
      <c r="M10" s="61">
        <v>0</v>
      </c>
      <c r="N10" s="61">
        <v>0</v>
      </c>
      <c r="O10" s="61">
        <f t="shared" si="0"/>
        <v>0</v>
      </c>
    </row>
    <row r="11" spans="1:16" x14ac:dyDescent="0.25">
      <c r="A11" s="115">
        <v>3</v>
      </c>
      <c r="B11" s="126" t="s">
        <v>82</v>
      </c>
      <c r="C11" s="61">
        <v>0</v>
      </c>
      <c r="D11" s="61">
        <v>0</v>
      </c>
      <c r="E11" s="61">
        <v>0</v>
      </c>
      <c r="F11" s="61">
        <v>0</v>
      </c>
      <c r="G11" s="61">
        <v>0</v>
      </c>
      <c r="H11" s="61">
        <v>0</v>
      </c>
      <c r="I11" s="61">
        <v>0</v>
      </c>
      <c r="J11" s="61">
        <v>0</v>
      </c>
      <c r="K11" s="61">
        <v>0</v>
      </c>
      <c r="L11" s="61">
        <v>0</v>
      </c>
      <c r="M11" s="61">
        <v>0</v>
      </c>
      <c r="N11" s="61">
        <v>0</v>
      </c>
      <c r="O11" s="61">
        <f t="shared" si="0"/>
        <v>0</v>
      </c>
    </row>
    <row r="12" spans="1:16" x14ac:dyDescent="0.25">
      <c r="A12" s="115">
        <v>4</v>
      </c>
      <c r="B12" s="126" t="s">
        <v>83</v>
      </c>
      <c r="C12" s="61">
        <v>0</v>
      </c>
      <c r="D12" s="61">
        <v>0</v>
      </c>
      <c r="E12" s="61">
        <v>0</v>
      </c>
      <c r="F12" s="61">
        <v>0</v>
      </c>
      <c r="G12" s="61">
        <v>0</v>
      </c>
      <c r="H12" s="61">
        <v>0</v>
      </c>
      <c r="I12" s="61">
        <v>0</v>
      </c>
      <c r="J12" s="61">
        <v>0</v>
      </c>
      <c r="K12" s="61">
        <v>0</v>
      </c>
      <c r="L12" s="61">
        <v>0</v>
      </c>
      <c r="M12" s="61">
        <v>0</v>
      </c>
      <c r="N12" s="61">
        <v>0</v>
      </c>
      <c r="O12" s="61">
        <f t="shared" si="0"/>
        <v>0</v>
      </c>
    </row>
    <row r="13" spans="1:16" x14ac:dyDescent="0.25">
      <c r="A13" s="115">
        <v>1</v>
      </c>
      <c r="B13" s="126" t="s">
        <v>84</v>
      </c>
      <c r="C13" s="61">
        <v>0</v>
      </c>
      <c r="D13" s="61">
        <v>0</v>
      </c>
      <c r="E13" s="61">
        <v>0</v>
      </c>
      <c r="F13" s="61">
        <v>0</v>
      </c>
      <c r="G13" s="61">
        <v>0</v>
      </c>
      <c r="H13" s="61">
        <v>0</v>
      </c>
      <c r="I13" s="61">
        <v>0</v>
      </c>
      <c r="J13" s="61">
        <v>0</v>
      </c>
      <c r="K13" s="61">
        <v>0</v>
      </c>
      <c r="L13" s="61">
        <v>0</v>
      </c>
      <c r="M13" s="61">
        <v>0</v>
      </c>
      <c r="N13" s="61">
        <v>0</v>
      </c>
      <c r="O13" s="61">
        <f t="shared" si="0"/>
        <v>0</v>
      </c>
      <c r="P13" s="126" t="s">
        <v>65</v>
      </c>
    </row>
    <row r="14" spans="1:16" x14ac:dyDescent="0.25">
      <c r="A14" s="115">
        <v>2</v>
      </c>
      <c r="B14" s="126" t="s">
        <v>85</v>
      </c>
      <c r="C14" s="61">
        <v>0</v>
      </c>
      <c r="D14" s="61">
        <v>0</v>
      </c>
      <c r="E14" s="61">
        <v>0</v>
      </c>
      <c r="F14" s="61">
        <v>0</v>
      </c>
      <c r="G14" s="61">
        <v>0</v>
      </c>
      <c r="H14" s="61">
        <v>0</v>
      </c>
      <c r="I14" s="61">
        <v>0</v>
      </c>
      <c r="J14" s="61">
        <v>0</v>
      </c>
      <c r="K14" s="61">
        <v>0</v>
      </c>
      <c r="L14" s="61">
        <v>0</v>
      </c>
      <c r="M14" s="61">
        <v>0</v>
      </c>
      <c r="N14" s="61">
        <v>0</v>
      </c>
      <c r="O14" s="61">
        <f t="shared" si="0"/>
        <v>0</v>
      </c>
    </row>
    <row r="15" spans="1:16" x14ac:dyDescent="0.25">
      <c r="A15" s="115">
        <v>5</v>
      </c>
      <c r="B15" s="126" t="s">
        <v>86</v>
      </c>
      <c r="C15" s="61">
        <v>0</v>
      </c>
      <c r="D15" s="61">
        <v>0</v>
      </c>
      <c r="E15" s="61">
        <v>0</v>
      </c>
      <c r="F15" s="61">
        <v>0</v>
      </c>
      <c r="G15" s="61">
        <v>0</v>
      </c>
      <c r="H15" s="61">
        <v>0</v>
      </c>
      <c r="I15" s="61">
        <v>0</v>
      </c>
      <c r="J15" s="61">
        <v>0</v>
      </c>
      <c r="K15" s="61">
        <v>0</v>
      </c>
      <c r="L15" s="61">
        <v>0</v>
      </c>
      <c r="M15" s="61">
        <v>0</v>
      </c>
      <c r="N15" s="61">
        <v>0</v>
      </c>
      <c r="O15" s="61">
        <f t="shared" si="0"/>
        <v>0</v>
      </c>
    </row>
    <row r="16" spans="1:16" ht="15.75" thickBot="1" x14ac:dyDescent="0.3">
      <c r="A16" s="115"/>
      <c r="B16" s="63" t="s">
        <v>87</v>
      </c>
      <c r="C16" s="64">
        <f t="shared" ref="C16:N16" si="1">SUM(C9:C15)</f>
        <v>104003</v>
      </c>
      <c r="D16" s="64">
        <f t="shared" si="1"/>
        <v>0</v>
      </c>
      <c r="E16" s="64">
        <f t="shared" si="1"/>
        <v>0</v>
      </c>
      <c r="F16" s="64">
        <f t="shared" si="1"/>
        <v>0</v>
      </c>
      <c r="G16" s="64">
        <f t="shared" si="1"/>
        <v>0</v>
      </c>
      <c r="H16" s="64">
        <f t="shared" si="1"/>
        <v>0</v>
      </c>
      <c r="I16" s="64">
        <f t="shared" si="1"/>
        <v>0</v>
      </c>
      <c r="J16" s="64">
        <f t="shared" si="1"/>
        <v>0</v>
      </c>
      <c r="K16" s="64">
        <f t="shared" si="1"/>
        <v>0</v>
      </c>
      <c r="L16" s="64">
        <f t="shared" si="1"/>
        <v>0</v>
      </c>
      <c r="M16" s="64">
        <f t="shared" si="1"/>
        <v>0</v>
      </c>
      <c r="N16" s="64">
        <f t="shared" si="1"/>
        <v>0</v>
      </c>
      <c r="O16" s="64">
        <f t="shared" si="0"/>
        <v>104003</v>
      </c>
    </row>
    <row r="17" spans="1:16" ht="15.75" thickTop="1" x14ac:dyDescent="0.25">
      <c r="A17" s="115"/>
    </row>
    <row r="18" spans="1:16" x14ac:dyDescent="0.25">
      <c r="A18" s="115">
        <v>12</v>
      </c>
      <c r="B18" s="126" t="s">
        <v>88</v>
      </c>
      <c r="C18" s="61">
        <f t="shared" ref="C18:N18" si="2">C9*0.16</f>
        <v>16640.48</v>
      </c>
      <c r="D18" s="61">
        <f t="shared" si="2"/>
        <v>0</v>
      </c>
      <c r="E18" s="61">
        <f t="shared" si="2"/>
        <v>0</v>
      </c>
      <c r="F18" s="61">
        <f t="shared" si="2"/>
        <v>0</v>
      </c>
      <c r="G18" s="61">
        <f t="shared" si="2"/>
        <v>0</v>
      </c>
      <c r="H18" s="61">
        <f t="shared" si="2"/>
        <v>0</v>
      </c>
      <c r="I18" s="61">
        <f t="shared" si="2"/>
        <v>0</v>
      </c>
      <c r="J18" s="61">
        <f t="shared" si="2"/>
        <v>0</v>
      </c>
      <c r="K18" s="61">
        <f t="shared" si="2"/>
        <v>0</v>
      </c>
      <c r="L18" s="61">
        <f t="shared" si="2"/>
        <v>0</v>
      </c>
      <c r="M18" s="61">
        <f t="shared" si="2"/>
        <v>0</v>
      </c>
      <c r="N18" s="61">
        <f t="shared" si="2"/>
        <v>0</v>
      </c>
      <c r="O18" s="61">
        <f>SUM(C18:N18)</f>
        <v>16640.48</v>
      </c>
    </row>
    <row r="19" spans="1:16" hidden="1" x14ac:dyDescent="0.25">
      <c r="A19" s="115">
        <v>13</v>
      </c>
      <c r="B19" s="126" t="s">
        <v>122</v>
      </c>
      <c r="C19" s="61">
        <f>C10*0.16</f>
        <v>0</v>
      </c>
      <c r="D19" s="61">
        <f t="shared" ref="D19:N19" si="3">D10*0.8%</f>
        <v>0</v>
      </c>
      <c r="E19" s="61">
        <f t="shared" si="3"/>
        <v>0</v>
      </c>
      <c r="F19" s="61">
        <f t="shared" si="3"/>
        <v>0</v>
      </c>
      <c r="G19" s="61">
        <f t="shared" si="3"/>
        <v>0</v>
      </c>
      <c r="H19" s="61">
        <f t="shared" si="3"/>
        <v>0</v>
      </c>
      <c r="I19" s="61">
        <f t="shared" si="3"/>
        <v>0</v>
      </c>
      <c r="J19" s="61">
        <f t="shared" si="3"/>
        <v>0</v>
      </c>
      <c r="K19" s="61">
        <f t="shared" si="3"/>
        <v>0</v>
      </c>
      <c r="L19" s="61">
        <f t="shared" si="3"/>
        <v>0</v>
      </c>
      <c r="M19" s="61">
        <f t="shared" si="3"/>
        <v>0</v>
      </c>
      <c r="N19" s="61">
        <f t="shared" si="3"/>
        <v>0</v>
      </c>
      <c r="O19" s="61">
        <f>SUM(C19:N19)</f>
        <v>0</v>
      </c>
    </row>
    <row r="20" spans="1:16" s="72" customFormat="1" x14ac:dyDescent="0.25">
      <c r="A20" s="115">
        <v>8</v>
      </c>
      <c r="B20" s="573" t="s">
        <v>970</v>
      </c>
      <c r="C20" s="577">
        <v>0</v>
      </c>
      <c r="D20" s="574">
        <v>0</v>
      </c>
      <c r="E20" s="574">
        <v>0</v>
      </c>
      <c r="F20" s="574">
        <v>0</v>
      </c>
      <c r="G20" s="574">
        <v>0</v>
      </c>
      <c r="H20" s="574">
        <v>0</v>
      </c>
      <c r="I20" s="574">
        <v>0</v>
      </c>
      <c r="J20" s="574">
        <v>0</v>
      </c>
      <c r="K20" s="574">
        <v>0</v>
      </c>
      <c r="L20" s="574">
        <v>0</v>
      </c>
      <c r="M20" s="574">
        <v>0</v>
      </c>
      <c r="N20" s="574">
        <v>0</v>
      </c>
      <c r="O20" s="574">
        <f>SUM(C20:N20)</f>
        <v>0</v>
      </c>
      <c r="P20" s="573"/>
    </row>
    <row r="21" spans="1:16" ht="15.75" thickBot="1" x14ac:dyDescent="0.3">
      <c r="B21" s="63" t="s">
        <v>90</v>
      </c>
      <c r="C21" s="64">
        <f>C18+C19-C20</f>
        <v>16640.48</v>
      </c>
      <c r="D21" s="64">
        <f t="shared" ref="D21:O21" si="4">D18+D19-D20</f>
        <v>0</v>
      </c>
      <c r="E21" s="64">
        <f t="shared" si="4"/>
        <v>0</v>
      </c>
      <c r="F21" s="64">
        <f t="shared" si="4"/>
        <v>0</v>
      </c>
      <c r="G21" s="64">
        <f t="shared" si="4"/>
        <v>0</v>
      </c>
      <c r="H21" s="64">
        <f t="shared" si="4"/>
        <v>0</v>
      </c>
      <c r="I21" s="64">
        <f t="shared" si="4"/>
        <v>0</v>
      </c>
      <c r="J21" s="64">
        <f t="shared" si="4"/>
        <v>0</v>
      </c>
      <c r="K21" s="64">
        <f t="shared" si="4"/>
        <v>0</v>
      </c>
      <c r="L21" s="64">
        <f t="shared" si="4"/>
        <v>0</v>
      </c>
      <c r="M21" s="64">
        <f t="shared" si="4"/>
        <v>0</v>
      </c>
      <c r="N21" s="64">
        <f t="shared" si="4"/>
        <v>0</v>
      </c>
      <c r="O21" s="64">
        <f t="shared" si="4"/>
        <v>16640.48</v>
      </c>
    </row>
    <row r="22" spans="1:16" ht="15.75" thickTop="1" x14ac:dyDescent="0.25">
      <c r="B22" s="3"/>
      <c r="C22" s="65"/>
      <c r="D22" s="65"/>
      <c r="E22" s="65"/>
      <c r="F22" s="65"/>
      <c r="G22" s="65"/>
      <c r="H22" s="65"/>
      <c r="I22" s="65"/>
      <c r="J22" s="65"/>
      <c r="K22" s="65"/>
      <c r="L22" s="65"/>
      <c r="M22" s="65"/>
      <c r="N22" s="65"/>
      <c r="O22" s="65"/>
    </row>
    <row r="23" spans="1:16" hidden="1" x14ac:dyDescent="0.25">
      <c r="B23" s="3" t="s">
        <v>91</v>
      </c>
      <c r="C23" s="61"/>
      <c r="D23" s="61"/>
      <c r="E23" s="61"/>
      <c r="F23" s="61"/>
      <c r="G23" s="61"/>
      <c r="H23" s="61" t="s">
        <v>65</v>
      </c>
      <c r="I23" s="61" t="s">
        <v>65</v>
      </c>
      <c r="J23" s="61"/>
      <c r="K23" s="61"/>
      <c r="L23" s="61"/>
      <c r="M23" s="61"/>
      <c r="N23" s="61"/>
      <c r="O23" s="61"/>
    </row>
    <row r="24" spans="1:16" s="72" customFormat="1" hidden="1" x14ac:dyDescent="0.25">
      <c r="A24" s="72">
        <v>12</v>
      </c>
      <c r="B24" s="72" t="s">
        <v>92</v>
      </c>
      <c r="C24" s="73">
        <v>0</v>
      </c>
      <c r="D24" s="73">
        <v>0</v>
      </c>
      <c r="E24" s="73">
        <v>0</v>
      </c>
      <c r="F24" s="73">
        <v>0</v>
      </c>
      <c r="G24" s="73">
        <v>0</v>
      </c>
      <c r="H24" s="73">
        <v>0</v>
      </c>
      <c r="I24" s="73">
        <v>0</v>
      </c>
      <c r="J24" s="73">
        <v>0</v>
      </c>
      <c r="K24" s="73">
        <v>0</v>
      </c>
      <c r="L24" s="73">
        <v>0</v>
      </c>
      <c r="M24" s="73">
        <v>0</v>
      </c>
      <c r="N24" s="73">
        <v>0</v>
      </c>
      <c r="O24" s="73">
        <f>SUM(C24:N24)</f>
        <v>0</v>
      </c>
    </row>
    <row r="25" spans="1:16" hidden="1" x14ac:dyDescent="0.25">
      <c r="A25" s="126">
        <v>13</v>
      </c>
      <c r="B25" s="126" t="s">
        <v>103</v>
      </c>
      <c r="C25" s="61">
        <v>0</v>
      </c>
      <c r="D25" s="61">
        <v>0</v>
      </c>
      <c r="E25" s="61">
        <v>0</v>
      </c>
      <c r="F25" s="61">
        <v>0</v>
      </c>
      <c r="G25" s="61">
        <v>0</v>
      </c>
      <c r="H25" s="61">
        <v>0</v>
      </c>
      <c r="I25" s="61">
        <v>0</v>
      </c>
      <c r="J25" s="61">
        <v>0</v>
      </c>
      <c r="K25" s="61">
        <v>0</v>
      </c>
      <c r="L25" s="61">
        <v>0</v>
      </c>
      <c r="M25" s="61">
        <v>0</v>
      </c>
      <c r="N25" s="61">
        <v>0</v>
      </c>
      <c r="O25" s="61">
        <f>SUM(C25:N25)</f>
        <v>0</v>
      </c>
    </row>
    <row r="26" spans="1:16" hidden="1" x14ac:dyDescent="0.25">
      <c r="A26" s="126">
        <v>3</v>
      </c>
      <c r="B26" s="126" t="s">
        <v>93</v>
      </c>
      <c r="C26" s="61">
        <v>0</v>
      </c>
      <c r="D26" s="61">
        <v>0</v>
      </c>
      <c r="E26" s="61">
        <v>0</v>
      </c>
      <c r="F26" s="61">
        <v>0</v>
      </c>
      <c r="G26" s="61">
        <v>0</v>
      </c>
      <c r="H26" s="61">
        <v>0</v>
      </c>
      <c r="I26" s="61">
        <v>0</v>
      </c>
      <c r="J26" s="61">
        <v>0</v>
      </c>
      <c r="K26" s="61">
        <v>0</v>
      </c>
      <c r="L26" s="61">
        <v>0</v>
      </c>
      <c r="M26" s="61">
        <v>0</v>
      </c>
      <c r="N26" s="61">
        <v>0</v>
      </c>
      <c r="O26" s="61">
        <f>SUM(C26:N26)</f>
        <v>0</v>
      </c>
    </row>
    <row r="27" spans="1:16" hidden="1" x14ac:dyDescent="0.25">
      <c r="A27" s="126">
        <v>4</v>
      </c>
      <c r="B27" s="126" t="s">
        <v>94</v>
      </c>
      <c r="C27" s="61">
        <v>0</v>
      </c>
      <c r="D27" s="61">
        <v>0</v>
      </c>
      <c r="E27" s="61">
        <v>0</v>
      </c>
      <c r="F27" s="61">
        <v>0</v>
      </c>
      <c r="G27" s="61">
        <v>0</v>
      </c>
      <c r="H27" s="61">
        <v>0</v>
      </c>
      <c r="I27" s="61">
        <v>0</v>
      </c>
      <c r="J27" s="61">
        <v>0</v>
      </c>
      <c r="K27" s="61">
        <v>0</v>
      </c>
      <c r="L27" s="61">
        <v>0</v>
      </c>
      <c r="M27" s="61">
        <v>0</v>
      </c>
      <c r="N27" s="61">
        <v>0</v>
      </c>
      <c r="O27" s="61">
        <f>SUM(C27:N27)</f>
        <v>0</v>
      </c>
    </row>
    <row r="28" spans="1:16" ht="15.75" hidden="1" thickBot="1" x14ac:dyDescent="0.3">
      <c r="B28" s="63" t="s">
        <v>95</v>
      </c>
      <c r="C28" s="64">
        <f>SUM(C24:C27)</f>
        <v>0</v>
      </c>
      <c r="D28" s="64">
        <f t="shared" ref="D28:N28" si="5">SUM(D24:D27)</f>
        <v>0</v>
      </c>
      <c r="E28" s="64">
        <f t="shared" si="5"/>
        <v>0</v>
      </c>
      <c r="F28" s="64">
        <f t="shared" si="5"/>
        <v>0</v>
      </c>
      <c r="G28" s="64">
        <f t="shared" si="5"/>
        <v>0</v>
      </c>
      <c r="H28" s="64">
        <f t="shared" si="5"/>
        <v>0</v>
      </c>
      <c r="I28" s="64">
        <f t="shared" si="5"/>
        <v>0</v>
      </c>
      <c r="J28" s="64">
        <f t="shared" si="5"/>
        <v>0</v>
      </c>
      <c r="K28" s="64">
        <f t="shared" si="5"/>
        <v>0</v>
      </c>
      <c r="L28" s="64">
        <f t="shared" si="5"/>
        <v>0</v>
      </c>
      <c r="M28" s="64">
        <f t="shared" si="5"/>
        <v>0</v>
      </c>
      <c r="N28" s="64">
        <f t="shared" si="5"/>
        <v>0</v>
      </c>
      <c r="O28" s="64">
        <f>SUM(C28:N28)</f>
        <v>0</v>
      </c>
    </row>
    <row r="29" spans="1:16" x14ac:dyDescent="0.25">
      <c r="C29" s="61"/>
      <c r="D29" s="61"/>
      <c r="E29" s="61"/>
      <c r="F29" s="61"/>
      <c r="G29" s="61"/>
      <c r="H29" s="61"/>
      <c r="I29" s="61"/>
      <c r="J29" s="61"/>
      <c r="K29" s="61"/>
      <c r="L29" s="61"/>
      <c r="M29" s="61"/>
      <c r="N29" s="61"/>
      <c r="O29" s="61"/>
    </row>
    <row r="30" spans="1:16" x14ac:dyDescent="0.25">
      <c r="A30" s="126">
        <v>12</v>
      </c>
      <c r="B30" s="575" t="s">
        <v>96</v>
      </c>
      <c r="C30" s="576">
        <v>39</v>
      </c>
      <c r="D30" s="576">
        <f t="shared" ref="D30:N30" si="6">D24*0.16</f>
        <v>0</v>
      </c>
      <c r="E30" s="576">
        <f t="shared" si="6"/>
        <v>0</v>
      </c>
      <c r="F30" s="576">
        <f t="shared" si="6"/>
        <v>0</v>
      </c>
      <c r="G30" s="576">
        <f t="shared" si="6"/>
        <v>0</v>
      </c>
      <c r="H30" s="576">
        <f t="shared" si="6"/>
        <v>0</v>
      </c>
      <c r="I30" s="576">
        <f t="shared" si="6"/>
        <v>0</v>
      </c>
      <c r="J30" s="576">
        <f t="shared" si="6"/>
        <v>0</v>
      </c>
      <c r="K30" s="576">
        <f t="shared" si="6"/>
        <v>0</v>
      </c>
      <c r="L30" s="576">
        <f t="shared" si="6"/>
        <v>0</v>
      </c>
      <c r="M30" s="576">
        <f t="shared" si="6"/>
        <v>0</v>
      </c>
      <c r="N30" s="576">
        <f t="shared" si="6"/>
        <v>0</v>
      </c>
      <c r="O30" s="576">
        <f>SUM(C30:N30)</f>
        <v>39</v>
      </c>
    </row>
    <row r="31" spans="1:16" x14ac:dyDescent="0.25">
      <c r="A31" s="126">
        <v>13</v>
      </c>
      <c r="B31" s="126" t="s">
        <v>104</v>
      </c>
      <c r="C31" s="61">
        <f>C25*8%</f>
        <v>0</v>
      </c>
      <c r="D31" s="61">
        <f t="shared" ref="D31:N31" si="7">D25*8%</f>
        <v>0</v>
      </c>
      <c r="E31" s="61">
        <f t="shared" si="7"/>
        <v>0</v>
      </c>
      <c r="F31" s="61">
        <f t="shared" si="7"/>
        <v>0</v>
      </c>
      <c r="G31" s="61">
        <f t="shared" si="7"/>
        <v>0</v>
      </c>
      <c r="H31" s="61">
        <f t="shared" si="7"/>
        <v>0</v>
      </c>
      <c r="I31" s="61">
        <f t="shared" si="7"/>
        <v>0</v>
      </c>
      <c r="J31" s="61">
        <f t="shared" si="7"/>
        <v>0</v>
      </c>
      <c r="K31" s="61">
        <f t="shared" si="7"/>
        <v>0</v>
      </c>
      <c r="L31" s="61">
        <f t="shared" si="7"/>
        <v>0</v>
      </c>
      <c r="M31" s="61">
        <f t="shared" si="7"/>
        <v>0</v>
      </c>
      <c r="N31" s="61">
        <f t="shared" si="7"/>
        <v>0</v>
      </c>
      <c r="O31" s="61">
        <f>SUM(C31:N31)</f>
        <v>0</v>
      </c>
    </row>
    <row r="32" spans="1:16" ht="27" customHeight="1" x14ac:dyDescent="0.25">
      <c r="A32" s="126">
        <v>8</v>
      </c>
      <c r="B32" s="567" t="s">
        <v>1521</v>
      </c>
      <c r="C32" s="61">
        <v>0</v>
      </c>
      <c r="D32" s="61">
        <v>0</v>
      </c>
      <c r="E32" s="61">
        <v>0</v>
      </c>
      <c r="F32" s="61">
        <v>0</v>
      </c>
      <c r="G32" s="61">
        <v>0</v>
      </c>
      <c r="H32" s="61">
        <v>0</v>
      </c>
      <c r="I32" s="61">
        <v>0</v>
      </c>
      <c r="J32" s="61">
        <v>0</v>
      </c>
      <c r="K32" s="61">
        <v>0</v>
      </c>
      <c r="L32" s="61">
        <v>0</v>
      </c>
      <c r="M32" s="61">
        <v>0</v>
      </c>
      <c r="N32" s="61">
        <v>0</v>
      </c>
      <c r="O32" s="61">
        <f>SUM(C32:N32)</f>
        <v>0</v>
      </c>
    </row>
    <row r="33" spans="1:15" x14ac:dyDescent="0.25">
      <c r="A33" s="126">
        <v>8</v>
      </c>
      <c r="B33" s="126" t="s">
        <v>1520</v>
      </c>
      <c r="C33" s="61">
        <v>0</v>
      </c>
      <c r="D33" s="61">
        <f>C32</f>
        <v>0</v>
      </c>
      <c r="E33" s="61">
        <f t="shared" ref="E33:N33" si="8">D32</f>
        <v>0</v>
      </c>
      <c r="F33" s="61">
        <f t="shared" si="8"/>
        <v>0</v>
      </c>
      <c r="G33" s="61">
        <f t="shared" si="8"/>
        <v>0</v>
      </c>
      <c r="H33" s="61">
        <f t="shared" si="8"/>
        <v>0</v>
      </c>
      <c r="I33" s="61">
        <f t="shared" si="8"/>
        <v>0</v>
      </c>
      <c r="J33" s="61">
        <f t="shared" si="8"/>
        <v>0</v>
      </c>
      <c r="K33" s="61">
        <f t="shared" si="8"/>
        <v>0</v>
      </c>
      <c r="L33" s="61">
        <f t="shared" si="8"/>
        <v>0</v>
      </c>
      <c r="M33" s="61">
        <f t="shared" si="8"/>
        <v>0</v>
      </c>
      <c r="N33" s="61">
        <f t="shared" si="8"/>
        <v>0</v>
      </c>
      <c r="O33" s="61">
        <f>SUM(C33:N33)</f>
        <v>0</v>
      </c>
    </row>
    <row r="34" spans="1:15" ht="15.75" thickBot="1" x14ac:dyDescent="0.3">
      <c r="B34" s="63" t="s">
        <v>97</v>
      </c>
      <c r="C34" s="64">
        <f>C30+C31-C32+C33</f>
        <v>39</v>
      </c>
      <c r="D34" s="64">
        <f t="shared" ref="D34:N34" si="9">D30+D31-D32+D33</f>
        <v>0</v>
      </c>
      <c r="E34" s="64">
        <f t="shared" si="9"/>
        <v>0</v>
      </c>
      <c r="F34" s="64">
        <f t="shared" si="9"/>
        <v>0</v>
      </c>
      <c r="G34" s="64">
        <f t="shared" si="9"/>
        <v>0</v>
      </c>
      <c r="H34" s="64">
        <f t="shared" si="9"/>
        <v>0</v>
      </c>
      <c r="I34" s="64">
        <f t="shared" si="9"/>
        <v>0</v>
      </c>
      <c r="J34" s="64">
        <f t="shared" si="9"/>
        <v>0</v>
      </c>
      <c r="K34" s="64">
        <f t="shared" si="9"/>
        <v>0</v>
      </c>
      <c r="L34" s="64">
        <f t="shared" si="9"/>
        <v>0</v>
      </c>
      <c r="M34" s="64">
        <f t="shared" si="9"/>
        <v>0</v>
      </c>
      <c r="N34" s="64">
        <f t="shared" si="9"/>
        <v>0</v>
      </c>
      <c r="O34" s="64">
        <f>SUM(C34:N34)</f>
        <v>39</v>
      </c>
    </row>
    <row r="35" spans="1:15" ht="15.75" thickTop="1" x14ac:dyDescent="0.25">
      <c r="C35" s="61"/>
      <c r="D35" s="61"/>
      <c r="E35" s="61"/>
      <c r="F35" s="61"/>
      <c r="G35" s="61"/>
      <c r="H35" s="61"/>
      <c r="I35" s="61"/>
      <c r="J35" s="61"/>
      <c r="K35" s="61"/>
      <c r="L35" s="61"/>
      <c r="M35" s="61"/>
      <c r="N35" s="61"/>
      <c r="O35" s="61" t="s">
        <v>65</v>
      </c>
    </row>
    <row r="36" spans="1:15" ht="15.75" x14ac:dyDescent="0.25">
      <c r="B36" s="568" t="s">
        <v>98</v>
      </c>
      <c r="C36" s="569"/>
      <c r="D36" s="569"/>
      <c r="E36" s="569"/>
      <c r="F36" s="569" t="s">
        <v>65</v>
      </c>
      <c r="G36" s="569"/>
      <c r="H36" s="569"/>
      <c r="I36" s="569"/>
      <c r="J36" s="569"/>
      <c r="K36" s="569"/>
      <c r="L36" s="569"/>
      <c r="M36" s="569"/>
      <c r="N36" s="569"/>
      <c r="O36" s="569" t="s">
        <v>65</v>
      </c>
    </row>
    <row r="37" spans="1:15" x14ac:dyDescent="0.25">
      <c r="B37" s="570" t="s">
        <v>99</v>
      </c>
      <c r="C37" s="571">
        <f t="shared" ref="C37:N37" si="10">IF(C21&gt;C34,C21-C34,0)</f>
        <v>16601.48</v>
      </c>
      <c r="D37" s="571">
        <f t="shared" si="10"/>
        <v>0</v>
      </c>
      <c r="E37" s="571">
        <f t="shared" si="10"/>
        <v>0</v>
      </c>
      <c r="F37" s="571">
        <f t="shared" si="10"/>
        <v>0</v>
      </c>
      <c r="G37" s="571">
        <f t="shared" si="10"/>
        <v>0</v>
      </c>
      <c r="H37" s="571">
        <f t="shared" si="10"/>
        <v>0</v>
      </c>
      <c r="I37" s="571">
        <f t="shared" si="10"/>
        <v>0</v>
      </c>
      <c r="J37" s="571">
        <f t="shared" si="10"/>
        <v>0</v>
      </c>
      <c r="K37" s="571">
        <f t="shared" si="10"/>
        <v>0</v>
      </c>
      <c r="L37" s="571">
        <f t="shared" si="10"/>
        <v>0</v>
      </c>
      <c r="M37" s="571">
        <f t="shared" si="10"/>
        <v>0</v>
      </c>
      <c r="N37" s="571">
        <f t="shared" si="10"/>
        <v>0</v>
      </c>
      <c r="O37" s="571">
        <f>SUM(C37:N37)</f>
        <v>16601.48</v>
      </c>
    </row>
    <row r="38" spans="1:15" x14ac:dyDescent="0.25">
      <c r="B38" s="570" t="s">
        <v>100</v>
      </c>
      <c r="C38" s="571">
        <f>IF(C21&lt;C34,C34-C21,0)</f>
        <v>0</v>
      </c>
      <c r="D38" s="571">
        <f t="shared" ref="D38:N38" si="11">IF(D21&lt;D34,D34-D21,0)</f>
        <v>0</v>
      </c>
      <c r="E38" s="571">
        <f t="shared" si="11"/>
        <v>0</v>
      </c>
      <c r="F38" s="571">
        <f t="shared" si="11"/>
        <v>0</v>
      </c>
      <c r="G38" s="571">
        <f t="shared" si="11"/>
        <v>0</v>
      </c>
      <c r="H38" s="571">
        <f t="shared" si="11"/>
        <v>0</v>
      </c>
      <c r="I38" s="571">
        <f t="shared" si="11"/>
        <v>0</v>
      </c>
      <c r="J38" s="571">
        <f t="shared" si="11"/>
        <v>0</v>
      </c>
      <c r="K38" s="571">
        <f t="shared" si="11"/>
        <v>0</v>
      </c>
      <c r="L38" s="571">
        <f t="shared" si="11"/>
        <v>0</v>
      </c>
      <c r="M38" s="571">
        <f t="shared" si="11"/>
        <v>0</v>
      </c>
      <c r="N38" s="571">
        <f t="shared" si="11"/>
        <v>0</v>
      </c>
      <c r="O38" s="571">
        <f>SUM(C38:N38)</f>
        <v>0</v>
      </c>
    </row>
    <row r="39" spans="1:15" x14ac:dyDescent="0.25">
      <c r="B39" s="570" t="s">
        <v>101</v>
      </c>
      <c r="C39" s="571">
        <v>0</v>
      </c>
      <c r="D39" s="571">
        <f t="shared" ref="D39:N39" si="12">IF(C41&lt;0,C41*-1,C41)</f>
        <v>0</v>
      </c>
      <c r="E39" s="571">
        <f t="shared" si="12"/>
        <v>0</v>
      </c>
      <c r="F39" s="571">
        <f t="shared" si="12"/>
        <v>0</v>
      </c>
      <c r="G39" s="571">
        <f t="shared" si="12"/>
        <v>0</v>
      </c>
      <c r="H39" s="571">
        <f t="shared" si="12"/>
        <v>0</v>
      </c>
      <c r="I39" s="571">
        <f t="shared" si="12"/>
        <v>0</v>
      </c>
      <c r="J39" s="571">
        <f t="shared" si="12"/>
        <v>0</v>
      </c>
      <c r="K39" s="571">
        <f t="shared" si="12"/>
        <v>0</v>
      </c>
      <c r="L39" s="571">
        <f t="shared" si="12"/>
        <v>0</v>
      </c>
      <c r="M39" s="571">
        <f t="shared" si="12"/>
        <v>0</v>
      </c>
      <c r="N39" s="571">
        <f t="shared" si="12"/>
        <v>0</v>
      </c>
      <c r="O39" s="571">
        <f>N41</f>
        <v>0</v>
      </c>
    </row>
    <row r="40" spans="1:15" x14ac:dyDescent="0.25">
      <c r="B40" s="570" t="s">
        <v>102</v>
      </c>
      <c r="C40" s="571">
        <f t="shared" ref="C40:N40" si="13">IF(C37&gt;C39,C37-C39,0)</f>
        <v>16601.48</v>
      </c>
      <c r="D40" s="571">
        <f t="shared" si="13"/>
        <v>0</v>
      </c>
      <c r="E40" s="571">
        <f t="shared" si="13"/>
        <v>0</v>
      </c>
      <c r="F40" s="571">
        <f t="shared" si="13"/>
        <v>0</v>
      </c>
      <c r="G40" s="571">
        <f t="shared" si="13"/>
        <v>0</v>
      </c>
      <c r="H40" s="571">
        <f t="shared" si="13"/>
        <v>0</v>
      </c>
      <c r="I40" s="571">
        <f t="shared" si="13"/>
        <v>0</v>
      </c>
      <c r="J40" s="571">
        <f t="shared" si="13"/>
        <v>0</v>
      </c>
      <c r="K40" s="571">
        <f t="shared" si="13"/>
        <v>0</v>
      </c>
      <c r="L40" s="571">
        <f t="shared" si="13"/>
        <v>0</v>
      </c>
      <c r="M40" s="571">
        <f t="shared" si="13"/>
        <v>0</v>
      </c>
      <c r="N40" s="571">
        <f t="shared" si="13"/>
        <v>0</v>
      </c>
      <c r="O40" s="571">
        <f>SUM(C40:N40)</f>
        <v>16601.48</v>
      </c>
    </row>
    <row r="41" spans="1:15" x14ac:dyDescent="0.25">
      <c r="B41" s="570" t="s">
        <v>890</v>
      </c>
      <c r="C41" s="571">
        <f t="shared" ref="C41:N41" si="14">IF(C40=0,IF(C37=0,C38+C39,C39-C37),0)</f>
        <v>0</v>
      </c>
      <c r="D41" s="571">
        <f t="shared" si="14"/>
        <v>0</v>
      </c>
      <c r="E41" s="571">
        <f t="shared" si="14"/>
        <v>0</v>
      </c>
      <c r="F41" s="571">
        <f t="shared" si="14"/>
        <v>0</v>
      </c>
      <c r="G41" s="571">
        <f t="shared" si="14"/>
        <v>0</v>
      </c>
      <c r="H41" s="571">
        <f t="shared" si="14"/>
        <v>0</v>
      </c>
      <c r="I41" s="571">
        <f t="shared" si="14"/>
        <v>0</v>
      </c>
      <c r="J41" s="571">
        <f t="shared" si="14"/>
        <v>0</v>
      </c>
      <c r="K41" s="571">
        <f t="shared" si="14"/>
        <v>0</v>
      </c>
      <c r="L41" s="571">
        <f t="shared" si="14"/>
        <v>0</v>
      </c>
      <c r="M41" s="571">
        <f t="shared" si="14"/>
        <v>0</v>
      </c>
      <c r="N41" s="571">
        <f t="shared" si="14"/>
        <v>0</v>
      </c>
      <c r="O41" s="571"/>
    </row>
    <row r="45" spans="1:15" x14ac:dyDescent="0.25">
      <c r="B45" s="126">
        <v>2021</v>
      </c>
      <c r="D45" s="126" t="s">
        <v>1489</v>
      </c>
    </row>
    <row r="46" spans="1:15" x14ac:dyDescent="0.25">
      <c r="B46" s="74" t="s">
        <v>1487</v>
      </c>
      <c r="D46" s="74">
        <v>100000</v>
      </c>
    </row>
    <row r="47" spans="1:15" x14ac:dyDescent="0.25">
      <c r="B47" s="126" t="s">
        <v>1488</v>
      </c>
      <c r="C47" s="74"/>
      <c r="D47" s="74">
        <v>75000</v>
      </c>
    </row>
    <row r="48" spans="1:15" x14ac:dyDescent="0.25">
      <c r="B48" s="74"/>
    </row>
    <row r="49" spans="2:2" x14ac:dyDescent="0.25">
      <c r="B49" s="74" t="s">
        <v>1490</v>
      </c>
    </row>
    <row r="50" spans="2:2" x14ac:dyDescent="0.25">
      <c r="B50" s="74"/>
    </row>
    <row r="51" spans="2:2" x14ac:dyDescent="0.25">
      <c r="B51" s="74"/>
    </row>
    <row r="52" spans="2:2" x14ac:dyDescent="0.25">
      <c r="B52" s="74"/>
    </row>
    <row r="53" spans="2:2" x14ac:dyDescent="0.25">
      <c r="B53" s="74"/>
    </row>
    <row r="54" spans="2:2" x14ac:dyDescent="0.25">
      <c r="B54" s="74"/>
    </row>
    <row r="55" spans="2:2" x14ac:dyDescent="0.25">
      <c r="B55" s="74"/>
    </row>
    <row r="56" spans="2:2" x14ac:dyDescent="0.25">
      <c r="B56" s="74"/>
    </row>
    <row r="57" spans="2:2" x14ac:dyDescent="0.25">
      <c r="B57" s="74"/>
    </row>
    <row r="58" spans="2:2" x14ac:dyDescent="0.25">
      <c r="B58" s="74"/>
    </row>
  </sheetData>
  <mergeCells count="2">
    <mergeCell ref="A3:N3"/>
    <mergeCell ref="D1:H1"/>
  </mergeCells>
  <hyperlinks>
    <hyperlink ref="D2" r:id="rId1" display="https://www.youtube.com/watch?v=p4dXfU9Gm4k&amp;t=12s"/>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zoomScale="110" zoomScaleNormal="110" workbookViewId="0">
      <selection activeCell="B4" sqref="B4"/>
    </sheetView>
  </sheetViews>
  <sheetFormatPr baseColWidth="10" defaultRowHeight="15" x14ac:dyDescent="0.25"/>
  <cols>
    <col min="1" max="1" width="15" style="126" bestFit="1" customWidth="1"/>
    <col min="2" max="2" width="35.5703125" style="126" customWidth="1"/>
    <col min="3" max="3" width="18.28515625" style="126" customWidth="1"/>
    <col min="4" max="5" width="11.42578125" style="126"/>
    <col min="6" max="6" width="16.85546875" style="126" bestFit="1" customWidth="1"/>
    <col min="7" max="7" width="19.42578125" style="126" customWidth="1"/>
    <col min="8" max="10" width="11.42578125" style="126"/>
    <col min="11" max="11" width="14.140625" style="126" bestFit="1" customWidth="1"/>
    <col min="12" max="16384" width="11.42578125" style="126"/>
  </cols>
  <sheetData>
    <row r="1" spans="1:20" ht="24.75" customHeight="1" x14ac:dyDescent="0.25">
      <c r="A1" s="127"/>
      <c r="B1" s="124"/>
      <c r="C1" s="124"/>
      <c r="D1" s="592" t="s">
        <v>1573</v>
      </c>
      <c r="E1" s="592"/>
      <c r="F1" s="592"/>
      <c r="G1" s="592"/>
      <c r="H1" s="592"/>
    </row>
    <row r="2" spans="1:20" x14ac:dyDescent="0.25">
      <c r="A2" s="127"/>
      <c r="B2" s="124"/>
      <c r="C2" s="124"/>
      <c r="D2" s="585" t="s">
        <v>1572</v>
      </c>
      <c r="E2" s="125"/>
    </row>
    <row r="3" spans="1:20" ht="18" x14ac:dyDescent="0.25">
      <c r="B3" s="158"/>
      <c r="C3" s="158"/>
      <c r="D3" s="158"/>
      <c r="E3" s="158"/>
      <c r="F3" s="158"/>
      <c r="G3" s="158"/>
      <c r="H3" s="158"/>
      <c r="P3" s="342"/>
    </row>
    <row r="4" spans="1:20" ht="18" x14ac:dyDescent="0.25">
      <c r="B4" s="158" t="s">
        <v>1496</v>
      </c>
      <c r="C4" s="158"/>
      <c r="D4" s="158"/>
      <c r="E4" s="158"/>
      <c r="F4" s="158"/>
      <c r="G4" s="158"/>
      <c r="H4" s="158"/>
      <c r="P4" s="342"/>
    </row>
    <row r="5" spans="1:20" ht="18" x14ac:dyDescent="0.25">
      <c r="B5" s="158"/>
      <c r="C5" s="158"/>
      <c r="D5" s="158"/>
      <c r="E5" s="158"/>
      <c r="F5" s="158"/>
      <c r="G5" s="158"/>
      <c r="H5" s="158"/>
      <c r="P5" s="342"/>
    </row>
    <row r="6" spans="1:20" ht="18" x14ac:dyDescent="0.25">
      <c r="B6" s="158"/>
      <c r="C6" s="158"/>
      <c r="D6" s="158"/>
      <c r="E6" s="158"/>
      <c r="F6" s="158"/>
      <c r="G6" s="158"/>
      <c r="H6" s="158"/>
      <c r="P6" s="342"/>
    </row>
    <row r="7" spans="1:20" x14ac:dyDescent="0.25">
      <c r="F7" s="351" t="s">
        <v>878</v>
      </c>
      <c r="G7" s="74"/>
      <c r="I7" s="363"/>
      <c r="J7" s="363"/>
      <c r="K7" s="363"/>
      <c r="L7" s="363"/>
      <c r="M7" s="363"/>
      <c r="N7" s="363"/>
      <c r="O7" s="363"/>
      <c r="P7" s="385"/>
      <c r="Q7" s="363"/>
      <c r="R7" s="363"/>
      <c r="S7" s="363"/>
      <c r="T7" s="363"/>
    </row>
    <row r="8" spans="1:20" x14ac:dyDescent="0.25">
      <c r="B8" s="115" t="s">
        <v>883</v>
      </c>
      <c r="C8" s="115"/>
      <c r="D8" s="115"/>
      <c r="E8" s="115"/>
      <c r="F8" s="218">
        <v>2000000</v>
      </c>
      <c r="G8" s="74"/>
      <c r="I8" s="82"/>
      <c r="J8" s="82"/>
      <c r="K8" s="74"/>
      <c r="L8" s="82"/>
      <c r="M8" s="82"/>
      <c r="N8" s="82"/>
      <c r="O8" s="82"/>
      <c r="P8" s="386"/>
      <c r="Q8" s="82"/>
      <c r="R8" s="82"/>
      <c r="S8" s="82"/>
      <c r="T8" s="82"/>
    </row>
    <row r="9" spans="1:20" x14ac:dyDescent="0.25">
      <c r="A9" s="126" t="s">
        <v>879</v>
      </c>
      <c r="B9" s="115" t="s">
        <v>1465</v>
      </c>
      <c r="C9" s="115"/>
      <c r="D9" s="115"/>
      <c r="E9" s="115"/>
      <c r="F9" s="218">
        <v>150000</v>
      </c>
      <c r="G9" s="89" t="s">
        <v>1466</v>
      </c>
      <c r="H9" s="166" t="s">
        <v>1467</v>
      </c>
      <c r="I9" s="82"/>
      <c r="J9" s="82"/>
      <c r="K9" s="74"/>
      <c r="L9" s="82"/>
      <c r="M9" s="82"/>
      <c r="N9" s="82"/>
      <c r="O9" s="82"/>
      <c r="P9" s="386"/>
      <c r="Q9" s="82"/>
      <c r="R9" s="82"/>
      <c r="S9" s="82"/>
      <c r="T9" s="82"/>
    </row>
    <row r="10" spans="1:20" x14ac:dyDescent="0.25">
      <c r="A10" s="126" t="s">
        <v>879</v>
      </c>
      <c r="B10" s="115" t="s">
        <v>1468</v>
      </c>
      <c r="C10" s="115"/>
      <c r="D10" s="115"/>
      <c r="E10" s="115"/>
      <c r="F10" s="218">
        <v>200000</v>
      </c>
      <c r="G10" s="89" t="s">
        <v>1466</v>
      </c>
      <c r="H10" s="166" t="s">
        <v>1469</v>
      </c>
      <c r="I10" s="82"/>
      <c r="J10" s="82"/>
      <c r="K10" s="16"/>
      <c r="L10" s="82"/>
      <c r="M10" s="82"/>
      <c r="N10" s="82"/>
      <c r="O10" s="82"/>
      <c r="P10" s="386"/>
      <c r="Q10" s="82"/>
      <c r="R10" s="82"/>
      <c r="S10" s="82"/>
      <c r="T10" s="82"/>
    </row>
    <row r="11" spans="1:20" x14ac:dyDescent="0.25">
      <c r="B11" s="115" t="s">
        <v>1497</v>
      </c>
      <c r="C11" s="115"/>
      <c r="D11" s="115"/>
      <c r="E11" s="115"/>
      <c r="F11" s="218">
        <f>F8-F9-F10</f>
        <v>1650000</v>
      </c>
      <c r="G11" s="89"/>
      <c r="H11" s="166"/>
      <c r="I11" s="82"/>
      <c r="J11" s="82"/>
      <c r="K11" s="16"/>
      <c r="L11" s="82"/>
      <c r="M11" s="82"/>
      <c r="N11" s="82"/>
      <c r="O11" s="82"/>
      <c r="P11" s="386"/>
      <c r="Q11" s="82"/>
      <c r="R11" s="82"/>
      <c r="S11" s="82"/>
      <c r="T11" s="82"/>
    </row>
    <row r="12" spans="1:20" x14ac:dyDescent="0.25">
      <c r="B12" s="115"/>
      <c r="C12" s="115"/>
      <c r="D12" s="115"/>
      <c r="E12" s="115"/>
      <c r="F12" s="218"/>
      <c r="G12" s="89"/>
      <c r="H12" s="166"/>
      <c r="I12" s="82"/>
      <c r="J12" s="82"/>
      <c r="K12" s="16"/>
      <c r="L12" s="82"/>
      <c r="M12" s="82"/>
      <c r="N12" s="82"/>
      <c r="O12" s="82"/>
      <c r="P12" s="386"/>
      <c r="Q12" s="82"/>
      <c r="R12" s="82"/>
      <c r="S12" s="82"/>
      <c r="T12" s="82"/>
    </row>
    <row r="13" spans="1:20" x14ac:dyDescent="0.25">
      <c r="B13" s="115"/>
      <c r="C13" s="115"/>
      <c r="D13" s="115"/>
      <c r="E13" s="115"/>
      <c r="F13" s="218"/>
      <c r="G13" s="74"/>
      <c r="I13" s="82"/>
      <c r="J13" s="82"/>
      <c r="K13" s="74"/>
      <c r="L13" s="82"/>
      <c r="M13" s="82"/>
      <c r="N13" s="82"/>
      <c r="O13" s="82"/>
      <c r="P13" s="386"/>
      <c r="Q13" s="82"/>
      <c r="R13" s="82"/>
      <c r="S13" s="82"/>
      <c r="T13" s="82"/>
    </row>
    <row r="14" spans="1:20" x14ac:dyDescent="0.25">
      <c r="B14" s="115" t="s">
        <v>886</v>
      </c>
      <c r="C14" s="115"/>
      <c r="D14" s="115"/>
      <c r="E14" s="115"/>
      <c r="F14" s="387">
        <v>0.02</v>
      </c>
      <c r="G14" s="74"/>
      <c r="I14" s="74"/>
      <c r="J14" s="74"/>
      <c r="K14" s="74"/>
      <c r="L14" s="74"/>
      <c r="M14" s="74"/>
      <c r="N14" s="74"/>
      <c r="O14" s="74"/>
      <c r="P14" s="378"/>
      <c r="Q14" s="74"/>
      <c r="R14" s="74"/>
      <c r="S14" s="74"/>
      <c r="T14" s="74"/>
    </row>
    <row r="15" spans="1:20" x14ac:dyDescent="0.25">
      <c r="A15" s="159" t="s">
        <v>880</v>
      </c>
      <c r="B15" s="115" t="s">
        <v>1470</v>
      </c>
      <c r="C15" s="115"/>
      <c r="D15" s="115"/>
      <c r="E15" s="115"/>
      <c r="F15" s="218">
        <f>F11*F14</f>
        <v>33000</v>
      </c>
      <c r="I15" s="82"/>
      <c r="K15" s="16"/>
      <c r="P15" s="385"/>
    </row>
    <row r="16" spans="1:20" x14ac:dyDescent="0.25">
      <c r="A16" s="160"/>
      <c r="B16" s="115"/>
      <c r="C16" s="115"/>
      <c r="D16" s="115"/>
      <c r="E16" s="115"/>
      <c r="F16" s="218"/>
    </row>
    <row r="17" spans="1:7" x14ac:dyDescent="0.25">
      <c r="A17" s="159" t="s">
        <v>879</v>
      </c>
      <c r="B17" s="429" t="s">
        <v>881</v>
      </c>
      <c r="C17" s="429"/>
      <c r="D17" s="429"/>
      <c r="E17" s="429"/>
      <c r="F17" s="218">
        <f>1000000*1.25%</f>
        <v>12500</v>
      </c>
    </row>
    <row r="18" spans="1:7" x14ac:dyDescent="0.25">
      <c r="A18" s="159" t="s">
        <v>879</v>
      </c>
      <c r="B18" s="350" t="s">
        <v>882</v>
      </c>
      <c r="C18" s="350"/>
      <c r="D18" s="350"/>
      <c r="E18" s="350"/>
      <c r="F18" s="169">
        <v>35000</v>
      </c>
    </row>
    <row r="19" spans="1:7" hidden="1" x14ac:dyDescent="0.25">
      <c r="A19" s="160"/>
      <c r="F19" s="169" t="e">
        <f>F17+#REF!+F18</f>
        <v>#REF!</v>
      </c>
    </row>
    <row r="20" spans="1:7" hidden="1" x14ac:dyDescent="0.25">
      <c r="F20" s="169">
        <f>F17+F18</f>
        <v>47500</v>
      </c>
    </row>
    <row r="21" spans="1:7" ht="21" x14ac:dyDescent="0.45">
      <c r="B21" s="166" t="s">
        <v>887</v>
      </c>
      <c r="F21" s="187">
        <f>F15-G21</f>
        <v>-14500</v>
      </c>
      <c r="G21" s="167">
        <f>F17+F18</f>
        <v>47500</v>
      </c>
    </row>
    <row r="22" spans="1:7" ht="35.25" customHeight="1" x14ac:dyDescent="0.4">
      <c r="E22" s="9"/>
      <c r="F22" s="168" t="str">
        <f>IF(F20&gt;F15,"SALDO A FAVOR","SALDO A CARGO")</f>
        <v>SALDO A FAVOR</v>
      </c>
    </row>
    <row r="23" spans="1:7" x14ac:dyDescent="0.25">
      <c r="F23" s="161"/>
    </row>
    <row r="25" spans="1:7" ht="30" x14ac:dyDescent="0.25">
      <c r="B25" s="164" t="s">
        <v>884</v>
      </c>
      <c r="C25" s="165" t="s">
        <v>885</v>
      </c>
      <c r="D25" s="131"/>
    </row>
    <row r="26" spans="1:7" x14ac:dyDescent="0.25">
      <c r="A26" s="74">
        <v>0.01</v>
      </c>
      <c r="B26" s="162">
        <v>300000</v>
      </c>
      <c r="C26" s="163">
        <v>0.01</v>
      </c>
    </row>
    <row r="27" spans="1:7" x14ac:dyDescent="0.25">
      <c r="A27" s="74">
        <v>300001</v>
      </c>
      <c r="B27" s="162">
        <v>600000</v>
      </c>
      <c r="C27" s="163">
        <v>1.0999999999999999E-2</v>
      </c>
    </row>
    <row r="28" spans="1:7" x14ac:dyDescent="0.25">
      <c r="A28" s="74">
        <v>600001</v>
      </c>
      <c r="B28" s="162">
        <v>1000000</v>
      </c>
      <c r="C28" s="163">
        <v>1.4999999999999999E-2</v>
      </c>
    </row>
    <row r="29" spans="1:7" x14ac:dyDescent="0.25">
      <c r="A29" s="170">
        <v>1000001</v>
      </c>
      <c r="B29" s="162">
        <v>2500000</v>
      </c>
      <c r="C29" s="388">
        <v>0.02</v>
      </c>
    </row>
    <row r="30" spans="1:7" x14ac:dyDescent="0.25">
      <c r="A30" s="170">
        <v>2500001</v>
      </c>
      <c r="B30" s="162">
        <v>3500000</v>
      </c>
      <c r="C30" s="163">
        <v>2.5000000000000001E-2</v>
      </c>
    </row>
  </sheetData>
  <mergeCells count="2">
    <mergeCell ref="B17:E17"/>
    <mergeCell ref="D1:H1"/>
  </mergeCells>
  <hyperlinks>
    <hyperlink ref="D2" r:id="rId1" display="https://www.youtube.com/watch?v=p4dXfU9Gm4k&amp;t=12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5"/>
  <sheetViews>
    <sheetView showGridLines="0" workbookViewId="0">
      <selection activeCell="A9" sqref="A9"/>
    </sheetView>
  </sheetViews>
  <sheetFormatPr baseColWidth="10" defaultRowHeight="15" x14ac:dyDescent="0.25"/>
  <cols>
    <col min="1" max="1" width="30.140625" style="115" customWidth="1"/>
    <col min="2" max="2" width="0.140625" style="115" customWidth="1"/>
    <col min="3" max="14" width="14.140625" style="115" customWidth="1"/>
    <col min="15" max="15" width="1.85546875" style="115" customWidth="1"/>
    <col min="16" max="16" width="14.85546875" style="115" hidden="1" customWidth="1"/>
    <col min="17" max="17" width="15.42578125" style="115" bestFit="1" customWidth="1"/>
    <col min="18" max="256" width="11.42578125" style="115"/>
    <col min="257" max="257" width="28" style="115" customWidth="1"/>
    <col min="258" max="258" width="0.140625" style="115" customWidth="1"/>
    <col min="259" max="270" width="14.140625" style="115" customWidth="1"/>
    <col min="271" max="271" width="1.85546875" style="115" customWidth="1"/>
    <col min="272" max="272" width="14.85546875" style="115" bestFit="1" customWidth="1"/>
    <col min="273" max="512" width="11.42578125" style="115"/>
    <col min="513" max="513" width="28" style="115" customWidth="1"/>
    <col min="514" max="514" width="0.140625" style="115" customWidth="1"/>
    <col min="515" max="526" width="14.140625" style="115" customWidth="1"/>
    <col min="527" max="527" width="1.85546875" style="115" customWidth="1"/>
    <col min="528" max="528" width="14.85546875" style="115" bestFit="1" customWidth="1"/>
    <col min="529" max="768" width="11.42578125" style="115"/>
    <col min="769" max="769" width="28" style="115" customWidth="1"/>
    <col min="770" max="770" width="0.140625" style="115" customWidth="1"/>
    <col min="771" max="782" width="14.140625" style="115" customWidth="1"/>
    <col min="783" max="783" width="1.85546875" style="115" customWidth="1"/>
    <col min="784" max="784" width="14.85546875" style="115" bestFit="1" customWidth="1"/>
    <col min="785" max="1024" width="11.42578125" style="115"/>
    <col min="1025" max="1025" width="28" style="115" customWidth="1"/>
    <col min="1026" max="1026" width="0.140625" style="115" customWidth="1"/>
    <col min="1027" max="1038" width="14.140625" style="115" customWidth="1"/>
    <col min="1039" max="1039" width="1.85546875" style="115" customWidth="1"/>
    <col min="1040" max="1040" width="14.85546875" style="115" bestFit="1" customWidth="1"/>
    <col min="1041" max="1280" width="11.42578125" style="115"/>
    <col min="1281" max="1281" width="28" style="115" customWidth="1"/>
    <col min="1282" max="1282" width="0.140625" style="115" customWidth="1"/>
    <col min="1283" max="1294" width="14.140625" style="115" customWidth="1"/>
    <col min="1295" max="1295" width="1.85546875" style="115" customWidth="1"/>
    <col min="1296" max="1296" width="14.85546875" style="115" bestFit="1" customWidth="1"/>
    <col min="1297" max="1536" width="11.42578125" style="115"/>
    <col min="1537" max="1537" width="28" style="115" customWidth="1"/>
    <col min="1538" max="1538" width="0.140625" style="115" customWidth="1"/>
    <col min="1539" max="1550" width="14.140625" style="115" customWidth="1"/>
    <col min="1551" max="1551" width="1.85546875" style="115" customWidth="1"/>
    <col min="1552" max="1552" width="14.85546875" style="115" bestFit="1" customWidth="1"/>
    <col min="1553" max="1792" width="11.42578125" style="115"/>
    <col min="1793" max="1793" width="28" style="115" customWidth="1"/>
    <col min="1794" max="1794" width="0.140625" style="115" customWidth="1"/>
    <col min="1795" max="1806" width="14.140625" style="115" customWidth="1"/>
    <col min="1807" max="1807" width="1.85546875" style="115" customWidth="1"/>
    <col min="1808" max="1808" width="14.85546875" style="115" bestFit="1" customWidth="1"/>
    <col min="1809" max="2048" width="11.42578125" style="115"/>
    <col min="2049" max="2049" width="28" style="115" customWidth="1"/>
    <col min="2050" max="2050" width="0.140625" style="115" customWidth="1"/>
    <col min="2051" max="2062" width="14.140625" style="115" customWidth="1"/>
    <col min="2063" max="2063" width="1.85546875" style="115" customWidth="1"/>
    <col min="2064" max="2064" width="14.85546875" style="115" bestFit="1" customWidth="1"/>
    <col min="2065" max="2304" width="11.42578125" style="115"/>
    <col min="2305" max="2305" width="28" style="115" customWidth="1"/>
    <col min="2306" max="2306" width="0.140625" style="115" customWidth="1"/>
    <col min="2307" max="2318" width="14.140625" style="115" customWidth="1"/>
    <col min="2319" max="2319" width="1.85546875" style="115" customWidth="1"/>
    <col min="2320" max="2320" width="14.85546875" style="115" bestFit="1" customWidth="1"/>
    <col min="2321" max="2560" width="11.42578125" style="115"/>
    <col min="2561" max="2561" width="28" style="115" customWidth="1"/>
    <col min="2562" max="2562" width="0.140625" style="115" customWidth="1"/>
    <col min="2563" max="2574" width="14.140625" style="115" customWidth="1"/>
    <col min="2575" max="2575" width="1.85546875" style="115" customWidth="1"/>
    <col min="2576" max="2576" width="14.85546875" style="115" bestFit="1" customWidth="1"/>
    <col min="2577" max="2816" width="11.42578125" style="115"/>
    <col min="2817" max="2817" width="28" style="115" customWidth="1"/>
    <col min="2818" max="2818" width="0.140625" style="115" customWidth="1"/>
    <col min="2819" max="2830" width="14.140625" style="115" customWidth="1"/>
    <col min="2831" max="2831" width="1.85546875" style="115" customWidth="1"/>
    <col min="2832" max="2832" width="14.85546875" style="115" bestFit="1" customWidth="1"/>
    <col min="2833" max="3072" width="11.42578125" style="115"/>
    <col min="3073" max="3073" width="28" style="115" customWidth="1"/>
    <col min="3074" max="3074" width="0.140625" style="115" customWidth="1"/>
    <col min="3075" max="3086" width="14.140625" style="115" customWidth="1"/>
    <col min="3087" max="3087" width="1.85546875" style="115" customWidth="1"/>
    <col min="3088" max="3088" width="14.85546875" style="115" bestFit="1" customWidth="1"/>
    <col min="3089" max="3328" width="11.42578125" style="115"/>
    <col min="3329" max="3329" width="28" style="115" customWidth="1"/>
    <col min="3330" max="3330" width="0.140625" style="115" customWidth="1"/>
    <col min="3331" max="3342" width="14.140625" style="115" customWidth="1"/>
    <col min="3343" max="3343" width="1.85546875" style="115" customWidth="1"/>
    <col min="3344" max="3344" width="14.85546875" style="115" bestFit="1" customWidth="1"/>
    <col min="3345" max="3584" width="11.42578125" style="115"/>
    <col min="3585" max="3585" width="28" style="115" customWidth="1"/>
    <col min="3586" max="3586" width="0.140625" style="115" customWidth="1"/>
    <col min="3587" max="3598" width="14.140625" style="115" customWidth="1"/>
    <col min="3599" max="3599" width="1.85546875" style="115" customWidth="1"/>
    <col min="3600" max="3600" width="14.85546875" style="115" bestFit="1" customWidth="1"/>
    <col min="3601" max="3840" width="11.42578125" style="115"/>
    <col min="3841" max="3841" width="28" style="115" customWidth="1"/>
    <col min="3842" max="3842" width="0.140625" style="115" customWidth="1"/>
    <col min="3843" max="3854" width="14.140625" style="115" customWidth="1"/>
    <col min="3855" max="3855" width="1.85546875" style="115" customWidth="1"/>
    <col min="3856" max="3856" width="14.85546875" style="115" bestFit="1" customWidth="1"/>
    <col min="3857" max="4096" width="11.42578125" style="115"/>
    <col min="4097" max="4097" width="28" style="115" customWidth="1"/>
    <col min="4098" max="4098" width="0.140625" style="115" customWidth="1"/>
    <col min="4099" max="4110" width="14.140625" style="115" customWidth="1"/>
    <col min="4111" max="4111" width="1.85546875" style="115" customWidth="1"/>
    <col min="4112" max="4112" width="14.85546875" style="115" bestFit="1" customWidth="1"/>
    <col min="4113" max="4352" width="11.42578125" style="115"/>
    <col min="4353" max="4353" width="28" style="115" customWidth="1"/>
    <col min="4354" max="4354" width="0.140625" style="115" customWidth="1"/>
    <col min="4355" max="4366" width="14.140625" style="115" customWidth="1"/>
    <col min="4367" max="4367" width="1.85546875" style="115" customWidth="1"/>
    <col min="4368" max="4368" width="14.85546875" style="115" bestFit="1" customWidth="1"/>
    <col min="4369" max="4608" width="11.42578125" style="115"/>
    <col min="4609" max="4609" width="28" style="115" customWidth="1"/>
    <col min="4610" max="4610" width="0.140625" style="115" customWidth="1"/>
    <col min="4611" max="4622" width="14.140625" style="115" customWidth="1"/>
    <col min="4623" max="4623" width="1.85546875" style="115" customWidth="1"/>
    <col min="4624" max="4624" width="14.85546875" style="115" bestFit="1" customWidth="1"/>
    <col min="4625" max="4864" width="11.42578125" style="115"/>
    <col min="4865" max="4865" width="28" style="115" customWidth="1"/>
    <col min="4866" max="4866" width="0.140625" style="115" customWidth="1"/>
    <col min="4867" max="4878" width="14.140625" style="115" customWidth="1"/>
    <col min="4879" max="4879" width="1.85546875" style="115" customWidth="1"/>
    <col min="4880" max="4880" width="14.85546875" style="115" bestFit="1" customWidth="1"/>
    <col min="4881" max="5120" width="11.42578125" style="115"/>
    <col min="5121" max="5121" width="28" style="115" customWidth="1"/>
    <col min="5122" max="5122" width="0.140625" style="115" customWidth="1"/>
    <col min="5123" max="5134" width="14.140625" style="115" customWidth="1"/>
    <col min="5135" max="5135" width="1.85546875" style="115" customWidth="1"/>
    <col min="5136" max="5136" width="14.85546875" style="115" bestFit="1" customWidth="1"/>
    <col min="5137" max="5376" width="11.42578125" style="115"/>
    <col min="5377" max="5377" width="28" style="115" customWidth="1"/>
    <col min="5378" max="5378" width="0.140625" style="115" customWidth="1"/>
    <col min="5379" max="5390" width="14.140625" style="115" customWidth="1"/>
    <col min="5391" max="5391" width="1.85546875" style="115" customWidth="1"/>
    <col min="5392" max="5392" width="14.85546875" style="115" bestFit="1" customWidth="1"/>
    <col min="5393" max="5632" width="11.42578125" style="115"/>
    <col min="5633" max="5633" width="28" style="115" customWidth="1"/>
    <col min="5634" max="5634" width="0.140625" style="115" customWidth="1"/>
    <col min="5635" max="5646" width="14.140625" style="115" customWidth="1"/>
    <col min="5647" max="5647" width="1.85546875" style="115" customWidth="1"/>
    <col min="5648" max="5648" width="14.85546875" style="115" bestFit="1" customWidth="1"/>
    <col min="5649" max="5888" width="11.42578125" style="115"/>
    <col min="5889" max="5889" width="28" style="115" customWidth="1"/>
    <col min="5890" max="5890" width="0.140625" style="115" customWidth="1"/>
    <col min="5891" max="5902" width="14.140625" style="115" customWidth="1"/>
    <col min="5903" max="5903" width="1.85546875" style="115" customWidth="1"/>
    <col min="5904" max="5904" width="14.85546875" style="115" bestFit="1" customWidth="1"/>
    <col min="5905" max="6144" width="11.42578125" style="115"/>
    <col min="6145" max="6145" width="28" style="115" customWidth="1"/>
    <col min="6146" max="6146" width="0.140625" style="115" customWidth="1"/>
    <col min="6147" max="6158" width="14.140625" style="115" customWidth="1"/>
    <col min="6159" max="6159" width="1.85546875" style="115" customWidth="1"/>
    <col min="6160" max="6160" width="14.85546875" style="115" bestFit="1" customWidth="1"/>
    <col min="6161" max="6400" width="11.42578125" style="115"/>
    <col min="6401" max="6401" width="28" style="115" customWidth="1"/>
    <col min="6402" max="6402" width="0.140625" style="115" customWidth="1"/>
    <col min="6403" max="6414" width="14.140625" style="115" customWidth="1"/>
    <col min="6415" max="6415" width="1.85546875" style="115" customWidth="1"/>
    <col min="6416" max="6416" width="14.85546875" style="115" bestFit="1" customWidth="1"/>
    <col min="6417" max="6656" width="11.42578125" style="115"/>
    <col min="6657" max="6657" width="28" style="115" customWidth="1"/>
    <col min="6658" max="6658" width="0.140625" style="115" customWidth="1"/>
    <col min="6659" max="6670" width="14.140625" style="115" customWidth="1"/>
    <col min="6671" max="6671" width="1.85546875" style="115" customWidth="1"/>
    <col min="6672" max="6672" width="14.85546875" style="115" bestFit="1" customWidth="1"/>
    <col min="6673" max="6912" width="11.42578125" style="115"/>
    <col min="6913" max="6913" width="28" style="115" customWidth="1"/>
    <col min="6914" max="6914" width="0.140625" style="115" customWidth="1"/>
    <col min="6915" max="6926" width="14.140625" style="115" customWidth="1"/>
    <col min="6927" max="6927" width="1.85546875" style="115" customWidth="1"/>
    <col min="6928" max="6928" width="14.85546875" style="115" bestFit="1" customWidth="1"/>
    <col min="6929" max="7168" width="11.42578125" style="115"/>
    <col min="7169" max="7169" width="28" style="115" customWidth="1"/>
    <col min="7170" max="7170" width="0.140625" style="115" customWidth="1"/>
    <col min="7171" max="7182" width="14.140625" style="115" customWidth="1"/>
    <col min="7183" max="7183" width="1.85546875" style="115" customWidth="1"/>
    <col min="7184" max="7184" width="14.85546875" style="115" bestFit="1" customWidth="1"/>
    <col min="7185" max="7424" width="11.42578125" style="115"/>
    <col min="7425" max="7425" width="28" style="115" customWidth="1"/>
    <col min="7426" max="7426" width="0.140625" style="115" customWidth="1"/>
    <col min="7427" max="7438" width="14.140625" style="115" customWidth="1"/>
    <col min="7439" max="7439" width="1.85546875" style="115" customWidth="1"/>
    <col min="7440" max="7440" width="14.85546875" style="115" bestFit="1" customWidth="1"/>
    <col min="7441" max="7680" width="11.42578125" style="115"/>
    <col min="7681" max="7681" width="28" style="115" customWidth="1"/>
    <col min="7682" max="7682" width="0.140625" style="115" customWidth="1"/>
    <col min="7683" max="7694" width="14.140625" style="115" customWidth="1"/>
    <col min="7695" max="7695" width="1.85546875" style="115" customWidth="1"/>
    <col min="7696" max="7696" width="14.85546875" style="115" bestFit="1" customWidth="1"/>
    <col min="7697" max="7936" width="11.42578125" style="115"/>
    <col min="7937" max="7937" width="28" style="115" customWidth="1"/>
    <col min="7938" max="7938" width="0.140625" style="115" customWidth="1"/>
    <col min="7939" max="7950" width="14.140625" style="115" customWidth="1"/>
    <col min="7951" max="7951" width="1.85546875" style="115" customWidth="1"/>
    <col min="7952" max="7952" width="14.85546875" style="115" bestFit="1" customWidth="1"/>
    <col min="7953" max="8192" width="11.42578125" style="115"/>
    <col min="8193" max="8193" width="28" style="115" customWidth="1"/>
    <col min="8194" max="8194" width="0.140625" style="115" customWidth="1"/>
    <col min="8195" max="8206" width="14.140625" style="115" customWidth="1"/>
    <col min="8207" max="8207" width="1.85546875" style="115" customWidth="1"/>
    <col min="8208" max="8208" width="14.85546875" style="115" bestFit="1" customWidth="1"/>
    <col min="8209" max="8448" width="11.42578125" style="115"/>
    <col min="8449" max="8449" width="28" style="115" customWidth="1"/>
    <col min="8450" max="8450" width="0.140625" style="115" customWidth="1"/>
    <col min="8451" max="8462" width="14.140625" style="115" customWidth="1"/>
    <col min="8463" max="8463" width="1.85546875" style="115" customWidth="1"/>
    <col min="8464" max="8464" width="14.85546875" style="115" bestFit="1" customWidth="1"/>
    <col min="8465" max="8704" width="11.42578125" style="115"/>
    <col min="8705" max="8705" width="28" style="115" customWidth="1"/>
    <col min="8706" max="8706" width="0.140625" style="115" customWidth="1"/>
    <col min="8707" max="8718" width="14.140625" style="115" customWidth="1"/>
    <col min="8719" max="8719" width="1.85546875" style="115" customWidth="1"/>
    <col min="8720" max="8720" width="14.85546875" style="115" bestFit="1" customWidth="1"/>
    <col min="8721" max="8960" width="11.42578125" style="115"/>
    <col min="8961" max="8961" width="28" style="115" customWidth="1"/>
    <col min="8962" max="8962" width="0.140625" style="115" customWidth="1"/>
    <col min="8963" max="8974" width="14.140625" style="115" customWidth="1"/>
    <col min="8975" max="8975" width="1.85546875" style="115" customWidth="1"/>
    <col min="8976" max="8976" width="14.85546875" style="115" bestFit="1" customWidth="1"/>
    <col min="8977" max="9216" width="11.42578125" style="115"/>
    <col min="9217" max="9217" width="28" style="115" customWidth="1"/>
    <col min="9218" max="9218" width="0.140625" style="115" customWidth="1"/>
    <col min="9219" max="9230" width="14.140625" style="115" customWidth="1"/>
    <col min="9231" max="9231" width="1.85546875" style="115" customWidth="1"/>
    <col min="9232" max="9232" width="14.85546875" style="115" bestFit="1" customWidth="1"/>
    <col min="9233" max="9472" width="11.42578125" style="115"/>
    <col min="9473" max="9473" width="28" style="115" customWidth="1"/>
    <col min="9474" max="9474" width="0.140625" style="115" customWidth="1"/>
    <col min="9475" max="9486" width="14.140625" style="115" customWidth="1"/>
    <col min="9487" max="9487" width="1.85546875" style="115" customWidth="1"/>
    <col min="9488" max="9488" width="14.85546875" style="115" bestFit="1" customWidth="1"/>
    <col min="9489" max="9728" width="11.42578125" style="115"/>
    <col min="9729" max="9729" width="28" style="115" customWidth="1"/>
    <col min="9730" max="9730" width="0.140625" style="115" customWidth="1"/>
    <col min="9731" max="9742" width="14.140625" style="115" customWidth="1"/>
    <col min="9743" max="9743" width="1.85546875" style="115" customWidth="1"/>
    <col min="9744" max="9744" width="14.85546875" style="115" bestFit="1" customWidth="1"/>
    <col min="9745" max="9984" width="11.42578125" style="115"/>
    <col min="9985" max="9985" width="28" style="115" customWidth="1"/>
    <col min="9986" max="9986" width="0.140625" style="115" customWidth="1"/>
    <col min="9987" max="9998" width="14.140625" style="115" customWidth="1"/>
    <col min="9999" max="9999" width="1.85546875" style="115" customWidth="1"/>
    <col min="10000" max="10000" width="14.85546875" style="115" bestFit="1" customWidth="1"/>
    <col min="10001" max="10240" width="11.42578125" style="115"/>
    <col min="10241" max="10241" width="28" style="115" customWidth="1"/>
    <col min="10242" max="10242" width="0.140625" style="115" customWidth="1"/>
    <col min="10243" max="10254" width="14.140625" style="115" customWidth="1"/>
    <col min="10255" max="10255" width="1.85546875" style="115" customWidth="1"/>
    <col min="10256" max="10256" width="14.85546875" style="115" bestFit="1" customWidth="1"/>
    <col min="10257" max="10496" width="11.42578125" style="115"/>
    <col min="10497" max="10497" width="28" style="115" customWidth="1"/>
    <col min="10498" max="10498" width="0.140625" style="115" customWidth="1"/>
    <col min="10499" max="10510" width="14.140625" style="115" customWidth="1"/>
    <col min="10511" max="10511" width="1.85546875" style="115" customWidth="1"/>
    <col min="10512" max="10512" width="14.85546875" style="115" bestFit="1" customWidth="1"/>
    <col min="10513" max="10752" width="11.42578125" style="115"/>
    <col min="10753" max="10753" width="28" style="115" customWidth="1"/>
    <col min="10754" max="10754" width="0.140625" style="115" customWidth="1"/>
    <col min="10755" max="10766" width="14.140625" style="115" customWidth="1"/>
    <col min="10767" max="10767" width="1.85546875" style="115" customWidth="1"/>
    <col min="10768" max="10768" width="14.85546875" style="115" bestFit="1" customWidth="1"/>
    <col min="10769" max="11008" width="11.42578125" style="115"/>
    <col min="11009" max="11009" width="28" style="115" customWidth="1"/>
    <col min="11010" max="11010" width="0.140625" style="115" customWidth="1"/>
    <col min="11011" max="11022" width="14.140625" style="115" customWidth="1"/>
    <col min="11023" max="11023" width="1.85546875" style="115" customWidth="1"/>
    <col min="11024" max="11024" width="14.85546875" style="115" bestFit="1" customWidth="1"/>
    <col min="11025" max="11264" width="11.42578125" style="115"/>
    <col min="11265" max="11265" width="28" style="115" customWidth="1"/>
    <col min="11266" max="11266" width="0.140625" style="115" customWidth="1"/>
    <col min="11267" max="11278" width="14.140625" style="115" customWidth="1"/>
    <col min="11279" max="11279" width="1.85546875" style="115" customWidth="1"/>
    <col min="11280" max="11280" width="14.85546875" style="115" bestFit="1" customWidth="1"/>
    <col min="11281" max="11520" width="11.42578125" style="115"/>
    <col min="11521" max="11521" width="28" style="115" customWidth="1"/>
    <col min="11522" max="11522" width="0.140625" style="115" customWidth="1"/>
    <col min="11523" max="11534" width="14.140625" style="115" customWidth="1"/>
    <col min="11535" max="11535" width="1.85546875" style="115" customWidth="1"/>
    <col min="11536" max="11536" width="14.85546875" style="115" bestFit="1" customWidth="1"/>
    <col min="11537" max="11776" width="11.42578125" style="115"/>
    <col min="11777" max="11777" width="28" style="115" customWidth="1"/>
    <col min="11778" max="11778" width="0.140625" style="115" customWidth="1"/>
    <col min="11779" max="11790" width="14.140625" style="115" customWidth="1"/>
    <col min="11791" max="11791" width="1.85546875" style="115" customWidth="1"/>
    <col min="11792" max="11792" width="14.85546875" style="115" bestFit="1" customWidth="1"/>
    <col min="11793" max="12032" width="11.42578125" style="115"/>
    <col min="12033" max="12033" width="28" style="115" customWidth="1"/>
    <col min="12034" max="12034" width="0.140625" style="115" customWidth="1"/>
    <col min="12035" max="12046" width="14.140625" style="115" customWidth="1"/>
    <col min="12047" max="12047" width="1.85546875" style="115" customWidth="1"/>
    <col min="12048" max="12048" width="14.85546875" style="115" bestFit="1" customWidth="1"/>
    <col min="12049" max="12288" width="11.42578125" style="115"/>
    <col min="12289" max="12289" width="28" style="115" customWidth="1"/>
    <col min="12290" max="12290" width="0.140625" style="115" customWidth="1"/>
    <col min="12291" max="12302" width="14.140625" style="115" customWidth="1"/>
    <col min="12303" max="12303" width="1.85546875" style="115" customWidth="1"/>
    <col min="12304" max="12304" width="14.85546875" style="115" bestFit="1" customWidth="1"/>
    <col min="12305" max="12544" width="11.42578125" style="115"/>
    <col min="12545" max="12545" width="28" style="115" customWidth="1"/>
    <col min="12546" max="12546" width="0.140625" style="115" customWidth="1"/>
    <col min="12547" max="12558" width="14.140625" style="115" customWidth="1"/>
    <col min="12559" max="12559" width="1.85546875" style="115" customWidth="1"/>
    <col min="12560" max="12560" width="14.85546875" style="115" bestFit="1" customWidth="1"/>
    <col min="12561" max="12800" width="11.42578125" style="115"/>
    <col min="12801" max="12801" width="28" style="115" customWidth="1"/>
    <col min="12802" max="12802" width="0.140625" style="115" customWidth="1"/>
    <col min="12803" max="12814" width="14.140625" style="115" customWidth="1"/>
    <col min="12815" max="12815" width="1.85546875" style="115" customWidth="1"/>
    <col min="12816" max="12816" width="14.85546875" style="115" bestFit="1" customWidth="1"/>
    <col min="12817" max="13056" width="11.42578125" style="115"/>
    <col min="13057" max="13057" width="28" style="115" customWidth="1"/>
    <col min="13058" max="13058" width="0.140625" style="115" customWidth="1"/>
    <col min="13059" max="13070" width="14.140625" style="115" customWidth="1"/>
    <col min="13071" max="13071" width="1.85546875" style="115" customWidth="1"/>
    <col min="13072" max="13072" width="14.85546875" style="115" bestFit="1" customWidth="1"/>
    <col min="13073" max="13312" width="11.42578125" style="115"/>
    <col min="13313" max="13313" width="28" style="115" customWidth="1"/>
    <col min="13314" max="13314" width="0.140625" style="115" customWidth="1"/>
    <col min="13315" max="13326" width="14.140625" style="115" customWidth="1"/>
    <col min="13327" max="13327" width="1.85546875" style="115" customWidth="1"/>
    <col min="13328" max="13328" width="14.85546875" style="115" bestFit="1" customWidth="1"/>
    <col min="13329" max="13568" width="11.42578125" style="115"/>
    <col min="13569" max="13569" width="28" style="115" customWidth="1"/>
    <col min="13570" max="13570" width="0.140625" style="115" customWidth="1"/>
    <col min="13571" max="13582" width="14.140625" style="115" customWidth="1"/>
    <col min="13583" max="13583" width="1.85546875" style="115" customWidth="1"/>
    <col min="13584" max="13584" width="14.85546875" style="115" bestFit="1" customWidth="1"/>
    <col min="13585" max="13824" width="11.42578125" style="115"/>
    <col min="13825" max="13825" width="28" style="115" customWidth="1"/>
    <col min="13826" max="13826" width="0.140625" style="115" customWidth="1"/>
    <col min="13827" max="13838" width="14.140625" style="115" customWidth="1"/>
    <col min="13839" max="13839" width="1.85546875" style="115" customWidth="1"/>
    <col min="13840" max="13840" width="14.85546875" style="115" bestFit="1" customWidth="1"/>
    <col min="13841" max="14080" width="11.42578125" style="115"/>
    <col min="14081" max="14081" width="28" style="115" customWidth="1"/>
    <col min="14082" max="14082" width="0.140625" style="115" customWidth="1"/>
    <col min="14083" max="14094" width="14.140625" style="115" customWidth="1"/>
    <col min="14095" max="14095" width="1.85546875" style="115" customWidth="1"/>
    <col min="14096" max="14096" width="14.85546875" style="115" bestFit="1" customWidth="1"/>
    <col min="14097" max="14336" width="11.42578125" style="115"/>
    <col min="14337" max="14337" width="28" style="115" customWidth="1"/>
    <col min="14338" max="14338" width="0.140625" style="115" customWidth="1"/>
    <col min="14339" max="14350" width="14.140625" style="115" customWidth="1"/>
    <col min="14351" max="14351" width="1.85546875" style="115" customWidth="1"/>
    <col min="14352" max="14352" width="14.85546875" style="115" bestFit="1" customWidth="1"/>
    <col min="14353" max="14592" width="11.42578125" style="115"/>
    <col min="14593" max="14593" width="28" style="115" customWidth="1"/>
    <col min="14594" max="14594" width="0.140625" style="115" customWidth="1"/>
    <col min="14595" max="14606" width="14.140625" style="115" customWidth="1"/>
    <col min="14607" max="14607" width="1.85546875" style="115" customWidth="1"/>
    <col min="14608" max="14608" width="14.85546875" style="115" bestFit="1" customWidth="1"/>
    <col min="14609" max="14848" width="11.42578125" style="115"/>
    <col min="14849" max="14849" width="28" style="115" customWidth="1"/>
    <col min="14850" max="14850" width="0.140625" style="115" customWidth="1"/>
    <col min="14851" max="14862" width="14.140625" style="115" customWidth="1"/>
    <col min="14863" max="14863" width="1.85546875" style="115" customWidth="1"/>
    <col min="14864" max="14864" width="14.85546875" style="115" bestFit="1" customWidth="1"/>
    <col min="14865" max="15104" width="11.42578125" style="115"/>
    <col min="15105" max="15105" width="28" style="115" customWidth="1"/>
    <col min="15106" max="15106" width="0.140625" style="115" customWidth="1"/>
    <col min="15107" max="15118" width="14.140625" style="115" customWidth="1"/>
    <col min="15119" max="15119" width="1.85546875" style="115" customWidth="1"/>
    <col min="15120" max="15120" width="14.85546875" style="115" bestFit="1" customWidth="1"/>
    <col min="15121" max="15360" width="11.42578125" style="115"/>
    <col min="15361" max="15361" width="28" style="115" customWidth="1"/>
    <col min="15362" max="15362" width="0.140625" style="115" customWidth="1"/>
    <col min="15363" max="15374" width="14.140625" style="115" customWidth="1"/>
    <col min="15375" max="15375" width="1.85546875" style="115" customWidth="1"/>
    <col min="15376" max="15376" width="14.85546875" style="115" bestFit="1" customWidth="1"/>
    <col min="15377" max="15616" width="11.42578125" style="115"/>
    <col min="15617" max="15617" width="28" style="115" customWidth="1"/>
    <col min="15618" max="15618" width="0.140625" style="115" customWidth="1"/>
    <col min="15619" max="15630" width="14.140625" style="115" customWidth="1"/>
    <col min="15631" max="15631" width="1.85546875" style="115" customWidth="1"/>
    <col min="15632" max="15632" width="14.85546875" style="115" bestFit="1" customWidth="1"/>
    <col min="15633" max="15872" width="11.42578125" style="115"/>
    <col min="15873" max="15873" width="28" style="115" customWidth="1"/>
    <col min="15874" max="15874" width="0.140625" style="115" customWidth="1"/>
    <col min="15875" max="15886" width="14.140625" style="115" customWidth="1"/>
    <col min="15887" max="15887" width="1.85546875" style="115" customWidth="1"/>
    <col min="15888" max="15888" width="14.85546875" style="115" bestFit="1" customWidth="1"/>
    <col min="15889" max="16128" width="11.42578125" style="115"/>
    <col min="16129" max="16129" width="28" style="115" customWidth="1"/>
    <col min="16130" max="16130" width="0.140625" style="115" customWidth="1"/>
    <col min="16131" max="16142" width="14.140625" style="115" customWidth="1"/>
    <col min="16143" max="16143" width="1.85546875" style="115" customWidth="1"/>
    <col min="16144" max="16144" width="14.85546875" style="115" bestFit="1" customWidth="1"/>
    <col min="16145" max="16384" width="11.42578125" style="115"/>
  </cols>
  <sheetData>
    <row r="2" spans="1:17" x14ac:dyDescent="0.25">
      <c r="A2" s="430" t="s">
        <v>0</v>
      </c>
      <c r="B2" s="430"/>
      <c r="C2" s="430"/>
      <c r="D2" s="430"/>
      <c r="E2" s="430"/>
      <c r="F2" s="430"/>
      <c r="G2" s="430"/>
      <c r="H2" s="430"/>
      <c r="I2" s="430"/>
      <c r="J2" s="430"/>
      <c r="K2" s="430"/>
      <c r="L2" s="430"/>
      <c r="M2" s="430"/>
      <c r="N2" s="430"/>
      <c r="O2" s="430"/>
      <c r="P2" s="430"/>
    </row>
    <row r="3" spans="1:17" x14ac:dyDescent="0.25">
      <c r="A3" s="134"/>
      <c r="B3" s="134"/>
      <c r="C3" s="134"/>
      <c r="D3" s="134"/>
      <c r="E3" s="134"/>
      <c r="F3" s="134"/>
      <c r="G3" s="134"/>
      <c r="H3" s="134"/>
      <c r="I3" s="134"/>
      <c r="J3" s="134"/>
      <c r="K3" s="134"/>
      <c r="L3" s="134"/>
      <c r="M3" s="134"/>
      <c r="N3" s="134"/>
      <c r="O3" s="134"/>
      <c r="P3" s="134"/>
    </row>
    <row r="4" spans="1:17" x14ac:dyDescent="0.25">
      <c r="C4" s="431" t="s">
        <v>105</v>
      </c>
      <c r="D4" s="431"/>
      <c r="E4" s="431"/>
      <c r="F4" s="431"/>
      <c r="G4" s="431"/>
      <c r="H4" s="431"/>
      <c r="I4" s="431"/>
      <c r="J4" s="431"/>
      <c r="K4" s="431"/>
      <c r="L4" s="431"/>
      <c r="M4" s="431"/>
      <c r="N4" s="431"/>
      <c r="O4" s="431"/>
      <c r="P4" s="431"/>
    </row>
    <row r="5" spans="1:17" x14ac:dyDescent="0.25">
      <c r="C5" s="135">
        <v>1</v>
      </c>
      <c r="D5" s="135">
        <v>2</v>
      </c>
      <c r="E5" s="135">
        <v>3</v>
      </c>
      <c r="F5" s="135">
        <v>4</v>
      </c>
      <c r="G5" s="135">
        <v>5</v>
      </c>
      <c r="H5" s="135">
        <v>6</v>
      </c>
      <c r="I5" s="135">
        <v>7</v>
      </c>
      <c r="J5" s="135">
        <v>8</v>
      </c>
      <c r="K5" s="135">
        <v>9</v>
      </c>
      <c r="L5" s="135">
        <v>10</v>
      </c>
      <c r="M5" s="135">
        <v>11</v>
      </c>
      <c r="N5" s="135">
        <v>12</v>
      </c>
      <c r="O5" s="172"/>
    </row>
    <row r="6" spans="1:17" x14ac:dyDescent="0.25">
      <c r="A6" s="173"/>
      <c r="B6" s="173"/>
      <c r="C6" s="136" t="s">
        <v>3</v>
      </c>
      <c r="D6" s="136" t="s">
        <v>4</v>
      </c>
      <c r="E6" s="136" t="s">
        <v>5</v>
      </c>
      <c r="F6" s="136" t="s">
        <v>6</v>
      </c>
      <c r="G6" s="136" t="s">
        <v>7</v>
      </c>
      <c r="H6" s="136" t="s">
        <v>8</v>
      </c>
      <c r="I6" s="136" t="s">
        <v>9</v>
      </c>
      <c r="J6" s="136" t="s">
        <v>10</v>
      </c>
      <c r="K6" s="136" t="s">
        <v>11</v>
      </c>
      <c r="L6" s="136" t="s">
        <v>12</v>
      </c>
      <c r="M6" s="136" t="s">
        <v>13</v>
      </c>
      <c r="N6" s="136" t="s">
        <v>14</v>
      </c>
      <c r="O6" s="174"/>
      <c r="P6" s="173" t="s">
        <v>15</v>
      </c>
      <c r="Q6" s="174" t="s">
        <v>871</v>
      </c>
    </row>
    <row r="7" spans="1:17" ht="15.75" thickBot="1" x14ac:dyDescent="0.3">
      <c r="A7" s="175" t="s">
        <v>16</v>
      </c>
      <c r="C7" s="137">
        <v>10000</v>
      </c>
      <c r="D7" s="137">
        <f>'CONFIANZA M.'!D46</f>
        <v>0</v>
      </c>
      <c r="E7" s="137">
        <f>'CONFIANZA M.'!E46</f>
        <v>0</v>
      </c>
      <c r="F7" s="137">
        <f>'CONFIANZA M.'!F46</f>
        <v>0</v>
      </c>
      <c r="G7" s="137">
        <f>'CONFIANZA M.'!G46</f>
        <v>0</v>
      </c>
      <c r="H7" s="137">
        <f>'CONFIANZA M.'!H46</f>
        <v>0</v>
      </c>
      <c r="I7" s="137">
        <f>'CONFIANZA M.'!I46</f>
        <v>0</v>
      </c>
      <c r="J7" s="137">
        <f>'CONFIANZA M.'!J46</f>
        <v>0</v>
      </c>
      <c r="K7" s="137">
        <f>'CONFIANZA M.'!K46</f>
        <v>0</v>
      </c>
      <c r="L7" s="137">
        <f>'CONFIANZA M.'!L46</f>
        <v>0</v>
      </c>
      <c r="M7" s="137">
        <f>'CONFIANZA M.'!M46</f>
        <v>0</v>
      </c>
      <c r="N7" s="137">
        <f>'CONFIANZA M.'!N46</f>
        <v>0</v>
      </c>
      <c r="O7" s="138"/>
      <c r="P7" s="139">
        <f>SUM(C7:O7)</f>
        <v>10000</v>
      </c>
      <c r="Q7" s="145">
        <f>SUM(C7:N7)</f>
        <v>10000</v>
      </c>
    </row>
    <row r="8" spans="1:17" ht="15.75" thickBot="1" x14ac:dyDescent="0.3">
      <c r="A8" s="176" t="s">
        <v>17</v>
      </c>
      <c r="B8" s="173"/>
      <c r="C8" s="140">
        <f t="shared" ref="C8:N8" si="0">C7+B8</f>
        <v>10000</v>
      </c>
      <c r="D8" s="140">
        <f t="shared" si="0"/>
        <v>10000</v>
      </c>
      <c r="E8" s="140">
        <f t="shared" si="0"/>
        <v>10000</v>
      </c>
      <c r="F8" s="140">
        <f t="shared" si="0"/>
        <v>10000</v>
      </c>
      <c r="G8" s="140">
        <f t="shared" si="0"/>
        <v>10000</v>
      </c>
      <c r="H8" s="140">
        <f t="shared" si="0"/>
        <v>10000</v>
      </c>
      <c r="I8" s="140">
        <f t="shared" si="0"/>
        <v>10000</v>
      </c>
      <c r="J8" s="140">
        <f t="shared" si="0"/>
        <v>10000</v>
      </c>
      <c r="K8" s="140">
        <f t="shared" si="0"/>
        <v>10000</v>
      </c>
      <c r="L8" s="140">
        <f t="shared" si="0"/>
        <v>10000</v>
      </c>
      <c r="M8" s="140">
        <f t="shared" si="0"/>
        <v>10000</v>
      </c>
      <c r="N8" s="140">
        <f t="shared" si="0"/>
        <v>10000</v>
      </c>
      <c r="O8" s="141"/>
      <c r="P8" s="142">
        <f>P7</f>
        <v>10000</v>
      </c>
      <c r="Q8" s="139">
        <f>SUM(C7:N7)</f>
        <v>10000</v>
      </c>
    </row>
    <row r="9" spans="1:17" x14ac:dyDescent="0.25">
      <c r="A9" s="177"/>
      <c r="C9" s="143"/>
      <c r="D9" s="143"/>
      <c r="E9" s="143"/>
      <c r="F9" s="143"/>
      <c r="G9" s="143"/>
      <c r="H9" s="143"/>
      <c r="I9" s="143"/>
      <c r="J9" s="143"/>
      <c r="K9" s="143"/>
      <c r="L9" s="143"/>
      <c r="M9" s="143"/>
      <c r="N9" s="143"/>
      <c r="O9" s="138"/>
    </row>
    <row r="10" spans="1:17" x14ac:dyDescent="0.25">
      <c r="A10" s="175" t="s">
        <v>866</v>
      </c>
      <c r="C10" s="181">
        <v>0.5</v>
      </c>
      <c r="D10" s="181">
        <v>0.5</v>
      </c>
      <c r="E10" s="181">
        <v>0.5</v>
      </c>
      <c r="F10" s="181">
        <v>0.5</v>
      </c>
      <c r="G10" s="181">
        <v>0.5</v>
      </c>
      <c r="H10" s="181">
        <v>0.5</v>
      </c>
      <c r="I10" s="181">
        <v>0.5</v>
      </c>
      <c r="J10" s="181">
        <v>0.5</v>
      </c>
      <c r="K10" s="181">
        <f t="shared" ref="K10:N10" si="1">J10</f>
        <v>0.5</v>
      </c>
      <c r="L10" s="181">
        <f t="shared" si="1"/>
        <v>0.5</v>
      </c>
      <c r="M10" s="181">
        <f t="shared" si="1"/>
        <v>0.5</v>
      </c>
      <c r="N10" s="181">
        <f t="shared" si="1"/>
        <v>0.5</v>
      </c>
      <c r="O10" s="181"/>
      <c r="P10" s="139">
        <f>SUM(C10:O10)</f>
        <v>6</v>
      </c>
    </row>
    <row r="11" spans="1:17" x14ac:dyDescent="0.25">
      <c r="A11" s="175" t="s">
        <v>19</v>
      </c>
      <c r="B11" s="115">
        <v>502</v>
      </c>
      <c r="C11" s="144">
        <v>0</v>
      </c>
      <c r="D11" s="144"/>
      <c r="E11" s="144"/>
      <c r="F11" s="144"/>
      <c r="G11" s="144"/>
      <c r="H11" s="144"/>
      <c r="I11" s="144"/>
      <c r="J11" s="144"/>
      <c r="K11" s="144"/>
      <c r="L11" s="144"/>
      <c r="M11" s="144"/>
      <c r="N11" s="144"/>
      <c r="O11" s="138"/>
      <c r="P11" s="139">
        <f>SUM(C11:N11)</f>
        <v>0</v>
      </c>
    </row>
    <row r="12" spans="1:17" x14ac:dyDescent="0.25">
      <c r="A12" s="175" t="s">
        <v>1476</v>
      </c>
      <c r="B12" s="115">
        <v>560</v>
      </c>
      <c r="C12" s="144">
        <v>0</v>
      </c>
      <c r="D12" s="144">
        <v>3000</v>
      </c>
      <c r="E12" s="144">
        <v>3000</v>
      </c>
      <c r="F12" s="144">
        <v>3000</v>
      </c>
      <c r="G12" s="144">
        <v>3000</v>
      </c>
      <c r="H12" s="144">
        <v>3000</v>
      </c>
      <c r="I12" s="144">
        <v>3000</v>
      </c>
      <c r="J12" s="144">
        <v>3000</v>
      </c>
      <c r="K12" s="144"/>
      <c r="L12" s="144"/>
      <c r="M12" s="144"/>
      <c r="N12" s="144"/>
      <c r="O12" s="138"/>
      <c r="P12" s="139">
        <f>SUM(C12:N12)</f>
        <v>21000</v>
      </c>
    </row>
    <row r="13" spans="1:17" ht="15.75" thickBot="1" x14ac:dyDescent="0.3">
      <c r="A13" s="175" t="s">
        <v>21</v>
      </c>
      <c r="C13" s="143">
        <f>C7*C10</f>
        <v>5000</v>
      </c>
      <c r="D13" s="143">
        <f>D7*D10</f>
        <v>0</v>
      </c>
      <c r="E13" s="182">
        <f>E7*E10</f>
        <v>0</v>
      </c>
      <c r="F13" s="143">
        <f t="shared" ref="F13:N13" si="2">F7*F10</f>
        <v>0</v>
      </c>
      <c r="G13" s="143">
        <f t="shared" si="2"/>
        <v>0</v>
      </c>
      <c r="H13" s="143">
        <f t="shared" si="2"/>
        <v>0</v>
      </c>
      <c r="I13" s="143">
        <f t="shared" si="2"/>
        <v>0</v>
      </c>
      <c r="J13" s="143">
        <f t="shared" si="2"/>
        <v>0</v>
      </c>
      <c r="K13" s="143">
        <f t="shared" si="2"/>
        <v>0</v>
      </c>
      <c r="L13" s="143">
        <f t="shared" si="2"/>
        <v>0</v>
      </c>
      <c r="M13" s="143">
        <f t="shared" si="2"/>
        <v>0</v>
      </c>
      <c r="N13" s="143">
        <f t="shared" si="2"/>
        <v>0</v>
      </c>
      <c r="O13" s="138"/>
      <c r="P13" s="143">
        <f>SUM(C13:O13)</f>
        <v>5000</v>
      </c>
    </row>
    <row r="14" spans="1:17" ht="15.75" thickBot="1" x14ac:dyDescent="0.3">
      <c r="A14" s="176" t="s">
        <v>22</v>
      </c>
      <c r="B14" s="173"/>
      <c r="C14" s="140">
        <f>C13+C11+C12</f>
        <v>5000</v>
      </c>
      <c r="D14" s="140">
        <f>D13+D12+C14+D11</f>
        <v>8000</v>
      </c>
      <c r="E14" s="140">
        <f t="shared" ref="E14:J14" si="3">E13+E12+D14+E11</f>
        <v>11000</v>
      </c>
      <c r="F14" s="140">
        <f t="shared" si="3"/>
        <v>14000</v>
      </c>
      <c r="G14" s="140">
        <f t="shared" si="3"/>
        <v>17000</v>
      </c>
      <c r="H14" s="140">
        <f t="shared" si="3"/>
        <v>20000</v>
      </c>
      <c r="I14" s="140">
        <f t="shared" si="3"/>
        <v>23000</v>
      </c>
      <c r="J14" s="140">
        <f t="shared" si="3"/>
        <v>26000</v>
      </c>
      <c r="K14" s="140">
        <f>K13+K12+J14+K11</f>
        <v>26000</v>
      </c>
      <c r="L14" s="140">
        <f t="shared" ref="L14:N14" si="4">L13+L12+K14+L11</f>
        <v>26000</v>
      </c>
      <c r="M14" s="140">
        <f t="shared" si="4"/>
        <v>26000</v>
      </c>
      <c r="N14" s="140">
        <f t="shared" si="4"/>
        <v>26000</v>
      </c>
      <c r="O14" s="141"/>
      <c r="P14" s="142">
        <f>SUM(P10:P13)</f>
        <v>26006</v>
      </c>
      <c r="Q14" s="139">
        <f>SUM(C13:N13)</f>
        <v>5000</v>
      </c>
    </row>
    <row r="15" spans="1:17" x14ac:dyDescent="0.25">
      <c r="A15" s="177"/>
      <c r="C15" s="143"/>
      <c r="D15" s="143"/>
      <c r="E15" s="143"/>
      <c r="F15" s="143"/>
      <c r="G15" s="143"/>
      <c r="H15" s="143"/>
      <c r="I15" s="143"/>
      <c r="J15" s="143"/>
      <c r="K15" s="143"/>
      <c r="L15" s="143"/>
      <c r="M15" s="143"/>
      <c r="N15" s="143"/>
      <c r="O15" s="138"/>
      <c r="P15" s="145"/>
    </row>
    <row r="16" spans="1:17" x14ac:dyDescent="0.25">
      <c r="A16" s="175" t="s">
        <v>23</v>
      </c>
      <c r="C16" s="143"/>
      <c r="D16" s="143"/>
      <c r="E16" s="143"/>
      <c r="F16" s="143"/>
      <c r="G16" s="143"/>
      <c r="H16" s="143"/>
      <c r="I16" s="143"/>
      <c r="J16" s="143"/>
      <c r="K16" s="143"/>
      <c r="L16" s="143"/>
      <c r="M16" s="143"/>
      <c r="N16" s="143"/>
      <c r="O16" s="138"/>
      <c r="P16" s="139">
        <f>IF(P8-P14&gt;0,N16,0)</f>
        <v>0</v>
      </c>
    </row>
    <row r="17" spans="1:17" ht="15.75" thickBot="1" x14ac:dyDescent="0.3">
      <c r="A17" s="177"/>
      <c r="C17" s="143"/>
      <c r="D17" s="143"/>
      <c r="E17" s="143"/>
      <c r="F17" s="143"/>
      <c r="G17" s="143"/>
      <c r="H17" s="143"/>
      <c r="I17" s="143"/>
      <c r="J17" s="143"/>
      <c r="K17" s="143"/>
      <c r="L17" s="143"/>
      <c r="M17" s="143"/>
      <c r="N17" s="143"/>
      <c r="O17" s="138"/>
      <c r="P17" s="145"/>
    </row>
    <row r="18" spans="1:17" ht="15.75" thickBot="1" x14ac:dyDescent="0.3">
      <c r="A18" s="176" t="s">
        <v>24</v>
      </c>
      <c r="B18" s="173"/>
      <c r="C18" s="146">
        <f>IF((C8-C14-C16)&gt;0,(C8-C14-C16),0)</f>
        <v>5000</v>
      </c>
      <c r="D18" s="146">
        <f>IF((D8-D14-D16)&gt;0,(D8-D14-D16),0)</f>
        <v>2000</v>
      </c>
      <c r="E18" s="146">
        <f t="shared" ref="E18:N18" si="5">IF((E8-E14-E16)&gt;0,(E8-E14-E16),0)</f>
        <v>0</v>
      </c>
      <c r="F18" s="146">
        <f t="shared" si="5"/>
        <v>0</v>
      </c>
      <c r="G18" s="146">
        <f>IF((G8-G14-G16)&gt;0,(G8-G14-G16),0)</f>
        <v>0</v>
      </c>
      <c r="H18" s="146">
        <f>IF((H8-H14-H16)&gt;0,(H8-H14-H16),0)</f>
        <v>0</v>
      </c>
      <c r="I18" s="146">
        <f t="shared" si="5"/>
        <v>0</v>
      </c>
      <c r="J18" s="146">
        <f t="shared" si="5"/>
        <v>0</v>
      </c>
      <c r="K18" s="146">
        <f t="shared" si="5"/>
        <v>0</v>
      </c>
      <c r="L18" s="146">
        <f t="shared" si="5"/>
        <v>0</v>
      </c>
      <c r="M18" s="146">
        <f t="shared" si="5"/>
        <v>0</v>
      </c>
      <c r="N18" s="146">
        <f t="shared" si="5"/>
        <v>0</v>
      </c>
      <c r="O18" s="141"/>
      <c r="P18" s="150">
        <f>IF((P8-P14-P16)&gt;0,P8-P14-P16,0)</f>
        <v>0</v>
      </c>
      <c r="Q18" s="139">
        <f>Q8-Q14</f>
        <v>5000</v>
      </c>
    </row>
    <row r="19" spans="1:17" x14ac:dyDescent="0.25">
      <c r="A19" s="177"/>
      <c r="C19" s="143"/>
      <c r="D19" s="143"/>
      <c r="E19" s="143"/>
      <c r="F19" s="143"/>
      <c r="G19" s="143"/>
      <c r="H19" s="143"/>
      <c r="I19" s="143"/>
      <c r="J19" s="143"/>
      <c r="K19" s="143"/>
      <c r="L19" s="143"/>
      <c r="M19" s="143"/>
      <c r="N19" s="143"/>
      <c r="O19" s="138"/>
      <c r="P19" s="143"/>
    </row>
    <row r="20" spans="1:17" x14ac:dyDescent="0.25">
      <c r="A20" s="175" t="s">
        <v>25</v>
      </c>
      <c r="C20" s="147">
        <f>IF(C18&gt;0,VLOOKUP(C18,'[3]Tablas de ISR'!A5:B15,1,1),0)</f>
        <v>644.59</v>
      </c>
      <c r="D20" s="147">
        <f>IF(D18&gt;0,VLOOKUP(D18,'[3]Tablas de ISR'!F5:G15,1,1),0)</f>
        <v>1289.17</v>
      </c>
      <c r="E20" s="147">
        <f>IF(E18&gt;0,VLOOKUP(E18,'[3]Tablas de ISR'!A21:B31,1,1),0)</f>
        <v>0</v>
      </c>
      <c r="F20" s="147">
        <f>IF(F18&gt;0,VLOOKUP(F18,'[3]Tablas de ISR'!F21:G32,1,1),0)</f>
        <v>0</v>
      </c>
      <c r="G20" s="147">
        <f>IF(G18&gt;0,VLOOKUP(G18,'[3]Tablas de ISR'!A37:B47,1,1),0)</f>
        <v>0</v>
      </c>
      <c r="H20" s="147">
        <f>IF(H18&gt;0,VLOOKUP(H18,'[3]Tablas de ISR'!F37:G48,1,1),0)</f>
        <v>0</v>
      </c>
      <c r="I20" s="147">
        <f>IF(I18&gt;0,VLOOKUP(I18,'[3]Tablas de ISR'!A53:B63,1,1),0)</f>
        <v>0</v>
      </c>
      <c r="J20" s="147">
        <f>IF(J18&gt;0,VLOOKUP(J18,'[3]Tablas de ISR'!F53:G63,1,1),0)</f>
        <v>0</v>
      </c>
      <c r="K20" s="147">
        <f>IF(K18&gt;0,VLOOKUP(K18,'[3]Tablas de ISR'!A69:B79,1,1),0)</f>
        <v>0</v>
      </c>
      <c r="L20" s="147">
        <f>IF(L18&gt;0,VLOOKUP(L18,'[3]Tablas de ISR'!F69:G80,1,1),0)</f>
        <v>0</v>
      </c>
      <c r="M20" s="147">
        <f>IF(M18&gt;0,VLOOKUP(M18,'[3]Tablas de ISR'!A85:B96,1,1),0)</f>
        <v>0</v>
      </c>
      <c r="N20" s="147">
        <f>IF(N18&gt;0,VLOOKUP(N18,'[3]Tablas de ISR'!F85:G95,1,1),0)</f>
        <v>0</v>
      </c>
      <c r="O20" s="178"/>
      <c r="P20" s="147">
        <f>IF(P18&gt;0,VLOOKUP(P18,'[3]Tablas de ISR'!A101:B111,1,1),0)</f>
        <v>0</v>
      </c>
    </row>
    <row r="21" spans="1:17" x14ac:dyDescent="0.25">
      <c r="A21" s="177"/>
      <c r="C21" s="143"/>
      <c r="D21" s="143"/>
      <c r="E21" s="143"/>
      <c r="F21" s="143"/>
      <c r="G21" s="143"/>
      <c r="H21" s="143"/>
      <c r="I21" s="143"/>
      <c r="J21" s="143"/>
      <c r="K21" s="143"/>
      <c r="L21" s="143"/>
      <c r="M21" s="143"/>
      <c r="N21" s="143"/>
      <c r="O21" s="138"/>
      <c r="P21" s="143"/>
    </row>
    <row r="22" spans="1:17" ht="15.75" thickBot="1" x14ac:dyDescent="0.3">
      <c r="A22" s="177" t="s">
        <v>26</v>
      </c>
      <c r="C22" s="148">
        <f t="shared" ref="C22:N22" si="6">C18-C20</f>
        <v>4355.41</v>
      </c>
      <c r="D22" s="148">
        <f t="shared" si="6"/>
        <v>710.82999999999993</v>
      </c>
      <c r="E22" s="148">
        <f t="shared" si="6"/>
        <v>0</v>
      </c>
      <c r="F22" s="148">
        <f t="shared" si="6"/>
        <v>0</v>
      </c>
      <c r="G22" s="148">
        <f t="shared" si="6"/>
        <v>0</v>
      </c>
      <c r="H22" s="148">
        <f t="shared" si="6"/>
        <v>0</v>
      </c>
      <c r="I22" s="148">
        <f t="shared" si="6"/>
        <v>0</v>
      </c>
      <c r="J22" s="148">
        <f t="shared" si="6"/>
        <v>0</v>
      </c>
      <c r="K22" s="148">
        <f t="shared" si="6"/>
        <v>0</v>
      </c>
      <c r="L22" s="148">
        <f t="shared" si="6"/>
        <v>0</v>
      </c>
      <c r="M22" s="148">
        <f t="shared" si="6"/>
        <v>0</v>
      </c>
      <c r="N22" s="148">
        <f t="shared" si="6"/>
        <v>0</v>
      </c>
      <c r="O22" s="138"/>
      <c r="P22" s="148">
        <f>P18-P20</f>
        <v>0</v>
      </c>
    </row>
    <row r="23" spans="1:17" ht="15.75" thickTop="1" x14ac:dyDescent="0.25">
      <c r="A23" s="177"/>
      <c r="C23" s="143"/>
      <c r="D23" s="143"/>
      <c r="E23" s="143"/>
      <c r="F23" s="143"/>
      <c r="G23" s="143"/>
      <c r="H23" s="143"/>
      <c r="I23" s="143"/>
      <c r="J23" s="143"/>
      <c r="K23" s="143"/>
      <c r="L23" s="143"/>
      <c r="M23" s="143"/>
      <c r="N23" s="143"/>
      <c r="O23" s="138"/>
      <c r="P23" s="143"/>
    </row>
    <row r="24" spans="1:17" x14ac:dyDescent="0.25">
      <c r="A24" s="175" t="s">
        <v>27</v>
      </c>
      <c r="C24" s="149">
        <f>IF(C18&gt;0,VLOOKUP(C28,'[3]Tablas de ISR'!C5:D15,2,0),0)</f>
        <v>6.4000000000000001E-2</v>
      </c>
      <c r="D24" s="149">
        <f>VLOOKUP(D18,'[3]Tablas de ISR'!F5:I15,4,1)</f>
        <v>6.4000000000000001E-2</v>
      </c>
      <c r="E24" s="149" t="e">
        <f>VLOOKUP(E18,'[3]Tablas de ISR'!A21:D31,4,1)</f>
        <v>#N/A</v>
      </c>
      <c r="F24" s="149" t="e">
        <f>VLOOKUP(F18,'[3]Tablas de ISR'!F21:I31,4,1)</f>
        <v>#N/A</v>
      </c>
      <c r="G24" s="149" t="e">
        <f>VLOOKUP(G18,'[3]Tablas de ISR'!A37:D47,4,1)</f>
        <v>#N/A</v>
      </c>
      <c r="H24" s="149" t="e">
        <f>VLOOKUP(H18,'[3]Tablas de ISR'!F37:I47,4,1)</f>
        <v>#N/A</v>
      </c>
      <c r="I24" s="149" t="e">
        <f>VLOOKUP(I18,'[3]Tablas de ISR'!A53:D63,4,1)</f>
        <v>#N/A</v>
      </c>
      <c r="J24" s="149" t="e">
        <f>VLOOKUP(J18,'[3]Tablas de ISR'!F53:I63,4,1)</f>
        <v>#N/A</v>
      </c>
      <c r="K24" s="149" t="e">
        <f>VLOOKUP(K18,'[3]Tablas de ISR'!A69:D79,4,1)</f>
        <v>#N/A</v>
      </c>
      <c r="L24" s="149" t="e">
        <f>VLOOKUP(L18,'[3]Tablas de ISR'!F69:I79,4,1)</f>
        <v>#N/A</v>
      </c>
      <c r="M24" s="149" t="e">
        <f>VLOOKUP(M18,'[3]Tablas de ISR'!A85:D95,4,1)</f>
        <v>#N/A</v>
      </c>
      <c r="N24" s="149" t="e">
        <f>VLOOKUP(N18,'[3]Tablas de ISR'!F85:I95,4,1)</f>
        <v>#N/A</v>
      </c>
      <c r="O24" s="179"/>
      <c r="P24" s="149">
        <f>IF(P18&gt;0,VLOOKUP(P28,'[1]Tablas de ISR'!C100:D111,2,0),0)</f>
        <v>0</v>
      </c>
    </row>
    <row r="25" spans="1:17" x14ac:dyDescent="0.25">
      <c r="A25" s="177"/>
      <c r="C25" s="143"/>
      <c r="D25" s="143"/>
      <c r="E25" s="143"/>
      <c r="F25" s="143"/>
      <c r="G25" s="143"/>
      <c r="H25" s="143"/>
      <c r="I25" s="143"/>
      <c r="J25" s="143"/>
      <c r="K25" s="143"/>
      <c r="L25" s="143"/>
      <c r="M25" s="143"/>
      <c r="N25" s="143"/>
      <c r="O25" s="138"/>
      <c r="P25" s="143"/>
    </row>
    <row r="26" spans="1:17" ht="15.75" thickBot="1" x14ac:dyDescent="0.3">
      <c r="A26" s="175" t="s">
        <v>28</v>
      </c>
      <c r="C26" s="148">
        <f t="shared" ref="C26:N26" si="7">C22*C24</f>
        <v>278.74624</v>
      </c>
      <c r="D26" s="148">
        <f t="shared" si="7"/>
        <v>45.493119999999998</v>
      </c>
      <c r="E26" s="148" t="e">
        <f t="shared" si="7"/>
        <v>#N/A</v>
      </c>
      <c r="F26" s="148" t="e">
        <f t="shared" si="7"/>
        <v>#N/A</v>
      </c>
      <c r="G26" s="148" t="e">
        <f t="shared" si="7"/>
        <v>#N/A</v>
      </c>
      <c r="H26" s="148" t="e">
        <f t="shared" si="7"/>
        <v>#N/A</v>
      </c>
      <c r="I26" s="148" t="e">
        <f t="shared" si="7"/>
        <v>#N/A</v>
      </c>
      <c r="J26" s="148" t="e">
        <f t="shared" si="7"/>
        <v>#N/A</v>
      </c>
      <c r="K26" s="148" t="e">
        <f t="shared" si="7"/>
        <v>#N/A</v>
      </c>
      <c r="L26" s="148" t="e">
        <f t="shared" si="7"/>
        <v>#N/A</v>
      </c>
      <c r="M26" s="148" t="e">
        <f t="shared" si="7"/>
        <v>#N/A</v>
      </c>
      <c r="N26" s="148" t="e">
        <f t="shared" si="7"/>
        <v>#N/A</v>
      </c>
      <c r="O26" s="138"/>
      <c r="P26" s="148">
        <f>P22*P24</f>
        <v>0</v>
      </c>
    </row>
    <row r="27" spans="1:17" ht="15.75" thickTop="1" x14ac:dyDescent="0.25">
      <c r="A27" s="177"/>
      <c r="C27" s="143"/>
      <c r="D27" s="143"/>
      <c r="E27" s="143"/>
      <c r="F27" s="143"/>
      <c r="G27" s="143"/>
      <c r="H27" s="143"/>
      <c r="I27" s="143"/>
      <c r="J27" s="143"/>
      <c r="K27" s="143"/>
      <c r="L27" s="143"/>
      <c r="M27" s="143"/>
      <c r="N27" s="143"/>
      <c r="O27" s="138"/>
      <c r="P27" s="143"/>
    </row>
    <row r="28" spans="1:17" x14ac:dyDescent="0.25">
      <c r="A28" s="175" t="s">
        <v>29</v>
      </c>
      <c r="C28" s="147">
        <f>IF(C18&gt;0,VLOOKUP(C18,'[3]Tablas de ISR'!A5:C15,3,1),0)</f>
        <v>12.38</v>
      </c>
      <c r="D28" s="147">
        <f>IF(D18&gt;0,VLOOKUP(D18,'[3]Tablas de ISR'!F5:H15,3,1),0)</f>
        <v>24.76</v>
      </c>
      <c r="E28" s="147">
        <f>IF(E18&gt;0,VLOOKUP(E18,'[3]Tablas de ISR'!A21:C31,3,1),0)</f>
        <v>0</v>
      </c>
      <c r="F28" s="147">
        <f>IF(F18&gt;0,VLOOKUP(F18,'[3]Tablas de ISR'!F21:H32,3,1),0)</f>
        <v>0</v>
      </c>
      <c r="G28" s="147">
        <f>IF(G18&gt;0,VLOOKUP(G18,'[3]Tablas de ISR'!A37:C47,3,1),0)</f>
        <v>0</v>
      </c>
      <c r="H28" s="147">
        <f>IF(H18&gt;0,VLOOKUP(H18,'[3]Tablas de ISR'!F37:H48,3,1),0)</f>
        <v>0</v>
      </c>
      <c r="I28" s="147">
        <f>IF(I18&gt;0,VLOOKUP(I18,'[3]Tablas de ISR'!A53:C63,3,1),0)</f>
        <v>0</v>
      </c>
      <c r="J28" s="147">
        <f>IF(J18&gt;0,VLOOKUP(J18,'[3]Tablas de ISR'!F53:H63,3,1),0)</f>
        <v>0</v>
      </c>
      <c r="K28" s="147">
        <f>IF(K18&gt;0,VLOOKUP(K18,'[3]Tablas de ISR'!A69:C79,3,1),0)</f>
        <v>0</v>
      </c>
      <c r="L28" s="147">
        <f>IF(L18&gt;0,VLOOKUP(L18,'[3]Tablas de ISR'!F69:H80,3,1),0)</f>
        <v>0</v>
      </c>
      <c r="M28" s="147">
        <f>IF(M18&gt;0,VLOOKUP(M18,'[3]Tablas de ISR'!A85:C96,3,1),0)</f>
        <v>0</v>
      </c>
      <c r="N28" s="147">
        <f>IF(N18&gt;0,VLOOKUP(N18,'[3]Tablas de ISR'!F85:H95,3,1),0)</f>
        <v>0</v>
      </c>
      <c r="O28" s="178"/>
      <c r="P28" s="147">
        <f>IF(P18&gt;0,VLOOKUP(P18,'[3]Tablas de ISR'!A100:C111,3,1),0)</f>
        <v>0</v>
      </c>
    </row>
    <row r="29" spans="1:17" x14ac:dyDescent="0.25">
      <c r="A29" s="177"/>
      <c r="C29" s="143"/>
      <c r="D29" s="143"/>
      <c r="E29" s="143"/>
      <c r="F29" s="143"/>
      <c r="G29" s="143"/>
      <c r="H29" s="143"/>
      <c r="I29" s="143"/>
      <c r="J29" s="143"/>
      <c r="K29" s="143"/>
      <c r="L29" s="143"/>
      <c r="M29" s="143"/>
      <c r="N29" s="143"/>
      <c r="O29" s="138"/>
      <c r="P29" s="143"/>
    </row>
    <row r="30" spans="1:17" ht="15.75" thickBot="1" x14ac:dyDescent="0.3">
      <c r="A30" s="175" t="s">
        <v>30</v>
      </c>
      <c r="C30" s="148">
        <f t="shared" ref="C30:M30" si="8">C26+C28</f>
        <v>291.12624</v>
      </c>
      <c r="D30" s="148">
        <f>D26+D28</f>
        <v>70.253119999999996</v>
      </c>
      <c r="E30" s="148" t="e">
        <f t="shared" si="8"/>
        <v>#N/A</v>
      </c>
      <c r="F30" s="148" t="e">
        <f t="shared" si="8"/>
        <v>#N/A</v>
      </c>
      <c r="G30" s="148" t="e">
        <f t="shared" si="8"/>
        <v>#N/A</v>
      </c>
      <c r="H30" s="148" t="e">
        <f t="shared" si="8"/>
        <v>#N/A</v>
      </c>
      <c r="I30" s="148" t="e">
        <f t="shared" si="8"/>
        <v>#N/A</v>
      </c>
      <c r="J30" s="148" t="e">
        <f t="shared" si="8"/>
        <v>#N/A</v>
      </c>
      <c r="K30" s="148" t="e">
        <f t="shared" si="8"/>
        <v>#N/A</v>
      </c>
      <c r="L30" s="148" t="e">
        <f t="shared" si="8"/>
        <v>#N/A</v>
      </c>
      <c r="M30" s="148" t="e">
        <f t="shared" si="8"/>
        <v>#N/A</v>
      </c>
      <c r="N30" s="148" t="e">
        <f>N26+N28</f>
        <v>#N/A</v>
      </c>
      <c r="O30" s="138"/>
      <c r="P30" s="148">
        <f>P26+P28</f>
        <v>0</v>
      </c>
    </row>
    <row r="31" spans="1:17" ht="15.75" thickTop="1" x14ac:dyDescent="0.25">
      <c r="A31" s="177"/>
      <c r="C31" s="143"/>
      <c r="D31" s="143"/>
      <c r="E31" s="143"/>
      <c r="F31" s="143"/>
      <c r="G31" s="143"/>
      <c r="H31" s="143"/>
      <c r="I31" s="143"/>
      <c r="J31" s="143"/>
      <c r="K31" s="143"/>
      <c r="L31" s="143"/>
      <c r="M31" s="143"/>
      <c r="N31" s="143"/>
      <c r="O31" s="138"/>
      <c r="P31" s="143"/>
    </row>
    <row r="32" spans="1:17" x14ac:dyDescent="0.25">
      <c r="A32" s="175" t="s">
        <v>31</v>
      </c>
      <c r="C32" s="143">
        <v>0</v>
      </c>
      <c r="D32" s="143">
        <f t="shared" ref="D32:M32" si="9">IF(C36&gt;0,C32+C33+C35+C36,C32+C33+C35)</f>
        <v>0</v>
      </c>
      <c r="E32" s="143">
        <f>IF(D36&gt;0,D32+D33+D35+D36,D32+D33+D35)</f>
        <v>0</v>
      </c>
      <c r="F32" s="143" t="e">
        <f t="shared" si="9"/>
        <v>#N/A</v>
      </c>
      <c r="G32" s="143" t="e">
        <f>IF(F36&gt;0,F32+F33+F35+F36,F32+F33+F35)</f>
        <v>#N/A</v>
      </c>
      <c r="H32" s="143" t="e">
        <f>IF(G36&gt;0,G32+G33+G35+G36,G32+G33+G35)</f>
        <v>#N/A</v>
      </c>
      <c r="I32" s="143" t="e">
        <f t="shared" si="9"/>
        <v>#N/A</v>
      </c>
      <c r="J32" s="143" t="e">
        <f t="shared" si="9"/>
        <v>#N/A</v>
      </c>
      <c r="K32" s="143" t="e">
        <f t="shared" si="9"/>
        <v>#N/A</v>
      </c>
      <c r="L32" s="143" t="e">
        <f t="shared" si="9"/>
        <v>#N/A</v>
      </c>
      <c r="M32" s="143" t="e">
        <f t="shared" si="9"/>
        <v>#N/A</v>
      </c>
      <c r="N32" s="143" t="e">
        <f>IF(M36&gt;0,M32+M33+M35+M36,M32+M33+M35)</f>
        <v>#N/A</v>
      </c>
      <c r="O32" s="138"/>
      <c r="P32" s="143" t="e">
        <f>IF(N36&gt;0,N32+N33+N35+N36,N32+N33+N35)</f>
        <v>#N/A</v>
      </c>
    </row>
    <row r="33" spans="1:17" x14ac:dyDescent="0.25">
      <c r="A33" s="175" t="s">
        <v>32</v>
      </c>
      <c r="C33" s="143">
        <v>0</v>
      </c>
      <c r="D33" s="143">
        <v>0</v>
      </c>
      <c r="E33" s="143">
        <v>0</v>
      </c>
      <c r="F33" s="143">
        <v>0</v>
      </c>
      <c r="G33" s="143">
        <v>0</v>
      </c>
      <c r="H33" s="143">
        <v>0</v>
      </c>
      <c r="I33" s="143">
        <v>0</v>
      </c>
      <c r="J33" s="143">
        <v>0</v>
      </c>
      <c r="K33" s="143">
        <v>0</v>
      </c>
      <c r="L33" s="143">
        <v>0</v>
      </c>
      <c r="M33" s="143">
        <v>0</v>
      </c>
      <c r="N33" s="143">
        <v>0</v>
      </c>
      <c r="O33" s="138"/>
      <c r="P33" s="143">
        <v>0</v>
      </c>
    </row>
    <row r="34" spans="1:17" x14ac:dyDescent="0.25">
      <c r="A34" s="175" t="s">
        <v>33</v>
      </c>
      <c r="C34" s="143">
        <f>C7*10%</f>
        <v>1000</v>
      </c>
      <c r="D34" s="143">
        <v>2500</v>
      </c>
      <c r="E34" s="143">
        <v>2500</v>
      </c>
      <c r="F34" s="143">
        <v>0</v>
      </c>
      <c r="G34" s="143">
        <v>0</v>
      </c>
      <c r="H34" s="143">
        <v>0</v>
      </c>
      <c r="I34" s="143">
        <v>0</v>
      </c>
      <c r="J34" s="143">
        <v>0</v>
      </c>
      <c r="K34" s="143">
        <v>0</v>
      </c>
      <c r="L34" s="143">
        <v>0</v>
      </c>
      <c r="M34" s="143">
        <v>0</v>
      </c>
      <c r="N34" s="143">
        <v>0</v>
      </c>
      <c r="O34" s="138">
        <v>0</v>
      </c>
      <c r="P34" s="143">
        <f>N34</f>
        <v>0</v>
      </c>
      <c r="Q34" s="139">
        <f>SUM(C34:N34)</f>
        <v>6000</v>
      </c>
    </row>
    <row r="35" spans="1:17" ht="15.75" thickBot="1" x14ac:dyDescent="0.3">
      <c r="A35" s="177"/>
      <c r="B35" s="173"/>
      <c r="C35" s="143"/>
      <c r="D35" s="143"/>
      <c r="E35" s="143"/>
      <c r="F35" s="143"/>
      <c r="G35" s="143"/>
      <c r="H35" s="143"/>
      <c r="I35" s="143"/>
      <c r="J35" s="143"/>
      <c r="K35" s="143"/>
      <c r="L35" s="143"/>
      <c r="M35" s="143"/>
      <c r="N35" s="143"/>
      <c r="O35" s="138"/>
      <c r="P35" s="143"/>
    </row>
    <row r="36" spans="1:17" ht="15.75" thickBot="1" x14ac:dyDescent="0.3">
      <c r="A36" s="176" t="s">
        <v>34</v>
      </c>
      <c r="B36" s="173">
        <v>1</v>
      </c>
      <c r="C36" s="150">
        <f t="shared" ref="C36:N36" si="10">IF((C30-C32-C33-C34)&gt;0,C30-C32-C33-C34,0)</f>
        <v>0</v>
      </c>
      <c r="D36" s="150">
        <f t="shared" si="10"/>
        <v>0</v>
      </c>
      <c r="E36" s="150" t="e">
        <f t="shared" si="10"/>
        <v>#N/A</v>
      </c>
      <c r="F36" s="150" t="e">
        <f t="shared" si="10"/>
        <v>#N/A</v>
      </c>
      <c r="G36" s="150" t="e">
        <f t="shared" si="10"/>
        <v>#N/A</v>
      </c>
      <c r="H36" s="150" t="e">
        <f t="shared" si="10"/>
        <v>#N/A</v>
      </c>
      <c r="I36" s="150" t="e">
        <f t="shared" si="10"/>
        <v>#N/A</v>
      </c>
      <c r="J36" s="150" t="e">
        <f t="shared" si="10"/>
        <v>#N/A</v>
      </c>
      <c r="K36" s="150" t="e">
        <f t="shared" si="10"/>
        <v>#N/A</v>
      </c>
      <c r="L36" s="150" t="e">
        <f t="shared" si="10"/>
        <v>#N/A</v>
      </c>
      <c r="M36" s="180" t="e">
        <f t="shared" si="10"/>
        <v>#N/A</v>
      </c>
      <c r="N36" s="150" t="e">
        <f t="shared" si="10"/>
        <v>#N/A</v>
      </c>
      <c r="O36" s="141"/>
      <c r="P36" s="180" t="e">
        <f>IF((P30-P32-P33-P34)&gt;0,P30-P32-P33-P34,0)</f>
        <v>#N/A</v>
      </c>
      <c r="Q36" s="146" t="e">
        <f>SUM(B36:N36)</f>
        <v>#N/A</v>
      </c>
    </row>
    <row r="37" spans="1:17" hidden="1" x14ac:dyDescent="0.25">
      <c r="B37" s="173">
        <v>2</v>
      </c>
      <c r="C37" s="139"/>
      <c r="D37" s="139"/>
      <c r="E37" s="139"/>
      <c r="F37" s="139"/>
      <c r="G37" s="139"/>
      <c r="H37" s="139"/>
      <c r="I37" s="139"/>
      <c r="J37" s="139"/>
      <c r="K37" s="139"/>
      <c r="L37" s="139"/>
      <c r="M37" s="139"/>
      <c r="N37" s="139"/>
      <c r="O37" s="172"/>
    </row>
    <row r="38" spans="1:17" hidden="1" x14ac:dyDescent="0.25">
      <c r="B38" s="173">
        <v>3</v>
      </c>
      <c r="C38" s="151"/>
      <c r="D38" s="151"/>
      <c r="E38" s="151"/>
      <c r="F38" s="151"/>
      <c r="G38" s="151"/>
      <c r="H38" s="151"/>
      <c r="I38" s="151"/>
      <c r="J38" s="151"/>
      <c r="K38" s="151"/>
      <c r="L38" s="151"/>
      <c r="M38" s="151"/>
      <c r="N38" s="151"/>
      <c r="O38" s="172"/>
    </row>
    <row r="39" spans="1:17" hidden="1" x14ac:dyDescent="0.25">
      <c r="B39" s="173">
        <v>4</v>
      </c>
    </row>
    <row r="40" spans="1:17" hidden="1" x14ac:dyDescent="0.25">
      <c r="C40" s="152" t="s">
        <v>3</v>
      </c>
      <c r="D40" s="152" t="s">
        <v>4</v>
      </c>
      <c r="E40" s="152" t="s">
        <v>5</v>
      </c>
      <c r="F40" s="152" t="s">
        <v>6</v>
      </c>
      <c r="G40" s="152" t="s">
        <v>7</v>
      </c>
      <c r="H40" s="152" t="s">
        <v>8</v>
      </c>
      <c r="I40" s="152" t="s">
        <v>9</v>
      </c>
      <c r="J40" s="152" t="s">
        <v>10</v>
      </c>
      <c r="K40" s="152" t="s">
        <v>11</v>
      </c>
      <c r="L40" s="152" t="s">
        <v>12</v>
      </c>
      <c r="M40" s="152" t="s">
        <v>13</v>
      </c>
      <c r="N40" s="152" t="s">
        <v>14</v>
      </c>
    </row>
    <row r="41" spans="1:17" x14ac:dyDescent="0.25">
      <c r="A41" s="115" t="s">
        <v>873</v>
      </c>
      <c r="B41" s="173"/>
      <c r="C41" s="139"/>
    </row>
    <row r="42" spans="1:17" x14ac:dyDescent="0.25">
      <c r="A42" s="115" t="s">
        <v>1475</v>
      </c>
      <c r="B42" s="173"/>
      <c r="C42" s="139"/>
      <c r="D42" s="139"/>
      <c r="E42" s="139"/>
      <c r="F42" s="139"/>
      <c r="G42" s="139"/>
      <c r="H42" s="139"/>
      <c r="I42" s="139"/>
      <c r="J42" s="139"/>
      <c r="K42" s="139"/>
      <c r="L42" s="139"/>
      <c r="M42" s="139"/>
      <c r="N42" s="139"/>
    </row>
    <row r="43" spans="1:17" x14ac:dyDescent="0.25">
      <c r="B43" s="173"/>
      <c r="C43" s="391"/>
    </row>
    <row r="45" spans="1:17" x14ac:dyDescent="0.25">
      <c r="D45" s="153"/>
      <c r="E45" s="153"/>
    </row>
    <row r="46" spans="1:17" x14ac:dyDescent="0.25">
      <c r="D46" s="116"/>
      <c r="E46" s="116"/>
    </row>
    <row r="57" spans="4:11" x14ac:dyDescent="0.25">
      <c r="F57" s="115">
        <v>1</v>
      </c>
      <c r="G57" s="115">
        <v>2</v>
      </c>
      <c r="H57" s="115">
        <v>3</v>
      </c>
      <c r="I57" s="115">
        <v>4</v>
      </c>
      <c r="J57" s="115">
        <v>5</v>
      </c>
      <c r="K57" s="115">
        <v>6</v>
      </c>
    </row>
    <row r="58" spans="4:11" x14ac:dyDescent="0.25">
      <c r="D58" s="432" t="s">
        <v>110</v>
      </c>
      <c r="E58" s="115" t="s">
        <v>80</v>
      </c>
      <c r="F58" s="115">
        <v>758</v>
      </c>
      <c r="G58" s="115">
        <v>165.78</v>
      </c>
      <c r="H58" s="115">
        <v>711.07</v>
      </c>
      <c r="I58" s="115">
        <v>358.49</v>
      </c>
      <c r="J58" s="115">
        <v>356.4</v>
      </c>
      <c r="K58" s="115">
        <f>SUM(F58:J58)</f>
        <v>2349.7399999999998</v>
      </c>
    </row>
    <row r="59" spans="4:11" x14ac:dyDescent="0.25">
      <c r="D59" s="432"/>
      <c r="E59" s="115" t="s">
        <v>108</v>
      </c>
      <c r="F59" s="115">
        <v>15.16</v>
      </c>
      <c r="G59" s="115">
        <v>3.31</v>
      </c>
      <c r="H59" s="115">
        <v>14.22</v>
      </c>
      <c r="I59" s="115">
        <v>7.16</v>
      </c>
      <c r="J59" s="115">
        <v>7.12</v>
      </c>
      <c r="K59" s="115">
        <f>SUM(F59:J59)</f>
        <v>46.969999999999992</v>
      </c>
    </row>
    <row r="60" spans="4:11" x14ac:dyDescent="0.25">
      <c r="D60" s="432"/>
      <c r="E60" s="115" t="s">
        <v>109</v>
      </c>
      <c r="F60" s="115">
        <v>60.65</v>
      </c>
      <c r="G60" s="115">
        <v>13.26</v>
      </c>
      <c r="H60" s="115">
        <v>56.88</v>
      </c>
      <c r="I60" s="115">
        <v>28.68</v>
      </c>
      <c r="J60" s="115">
        <v>28.51</v>
      </c>
      <c r="K60" s="115">
        <f>SUM(F60:J60)</f>
        <v>187.98</v>
      </c>
    </row>
    <row r="63" spans="4:11" x14ac:dyDescent="0.25">
      <c r="D63" s="433" t="s">
        <v>111</v>
      </c>
      <c r="E63" s="115" t="s">
        <v>80</v>
      </c>
    </row>
    <row r="64" spans="4:11" x14ac:dyDescent="0.25">
      <c r="D64" s="433"/>
      <c r="E64" s="115" t="s">
        <v>108</v>
      </c>
    </row>
    <row r="65" spans="4:5" x14ac:dyDescent="0.25">
      <c r="D65" s="433"/>
      <c r="E65" s="115" t="s">
        <v>109</v>
      </c>
    </row>
  </sheetData>
  <mergeCells count="4">
    <mergeCell ref="A2:P2"/>
    <mergeCell ref="C4:P4"/>
    <mergeCell ref="D58:D60"/>
    <mergeCell ref="D63:D65"/>
  </mergeCells>
  <pageMargins left="0.7" right="0.7" top="0.75" bottom="0.75" header="0.3" footer="0.3"/>
  <pageSetup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showGridLines="0" workbookViewId="0">
      <selection activeCell="F15" sqref="F15"/>
    </sheetView>
  </sheetViews>
  <sheetFormatPr baseColWidth="10" defaultRowHeight="15" x14ac:dyDescent="0.25"/>
  <cols>
    <col min="1" max="1" width="39.5703125" style="126" bestFit="1" customWidth="1"/>
    <col min="2" max="2" width="0.42578125" style="126" hidden="1" customWidth="1"/>
    <col min="3" max="3" width="10" style="126" hidden="1" customWidth="1"/>
    <col min="4" max="4" width="17.7109375" style="126" customWidth="1"/>
    <col min="5" max="5" width="17.85546875" style="126" hidden="1" customWidth="1"/>
    <col min="6" max="6" width="17.85546875" style="126" customWidth="1"/>
    <col min="7" max="7" width="17.85546875" style="126" hidden="1" customWidth="1"/>
    <col min="8" max="8" width="17.7109375" style="126" customWidth="1"/>
    <col min="9" max="9" width="17.85546875" style="126" hidden="1" customWidth="1"/>
    <col min="10" max="10" width="17.7109375" style="126" customWidth="1"/>
    <col min="11" max="11" width="17.85546875" style="126" hidden="1" customWidth="1"/>
    <col min="12" max="12" width="17.85546875" style="126" customWidth="1"/>
    <col min="13" max="13" width="17.85546875" style="126" hidden="1" customWidth="1"/>
    <col min="14" max="14" width="17.85546875" style="126" customWidth="1"/>
    <col min="15" max="16" width="11.42578125" style="126"/>
    <col min="17" max="17" width="18.7109375" style="126" bestFit="1" customWidth="1"/>
    <col min="18" max="18" width="24.42578125" style="126" bestFit="1" customWidth="1"/>
    <col min="19" max="19" width="23.5703125" style="126" bestFit="1" customWidth="1"/>
    <col min="20" max="20" width="21.85546875" style="126" customWidth="1"/>
    <col min="21" max="256" width="11.42578125" style="126"/>
    <col min="257" max="257" width="39.5703125" style="126" bestFit="1" customWidth="1"/>
    <col min="258" max="259" width="0" style="126" hidden="1" customWidth="1"/>
    <col min="260" max="260" width="14.28515625" style="126" customWidth="1"/>
    <col min="261" max="261" width="0" style="126" hidden="1" customWidth="1"/>
    <col min="262" max="262" width="14.28515625" style="126" customWidth="1"/>
    <col min="263" max="263" width="0" style="126" hidden="1" customWidth="1"/>
    <col min="264" max="264" width="14.28515625" style="126" customWidth="1"/>
    <col min="265" max="265" width="0" style="126" hidden="1" customWidth="1"/>
    <col min="266" max="266" width="14.28515625" style="126" customWidth="1"/>
    <col min="267" max="267" width="0" style="126" hidden="1" customWidth="1"/>
    <col min="268" max="268" width="14.28515625" style="126" customWidth="1"/>
    <col min="269" max="269" width="0" style="126" hidden="1" customWidth="1"/>
    <col min="270" max="270" width="14.28515625" style="126" customWidth="1"/>
    <col min="271" max="512" width="11.42578125" style="126"/>
    <col min="513" max="513" width="39.5703125" style="126" bestFit="1" customWidth="1"/>
    <col min="514" max="515" width="0" style="126" hidden="1" customWidth="1"/>
    <col min="516" max="516" width="14.28515625" style="126" customWidth="1"/>
    <col min="517" max="517" width="0" style="126" hidden="1" customWidth="1"/>
    <col min="518" max="518" width="14.28515625" style="126" customWidth="1"/>
    <col min="519" max="519" width="0" style="126" hidden="1" customWidth="1"/>
    <col min="520" max="520" width="14.28515625" style="126" customWidth="1"/>
    <col min="521" max="521" width="0" style="126" hidden="1" customWidth="1"/>
    <col min="522" max="522" width="14.28515625" style="126" customWidth="1"/>
    <col min="523" max="523" width="0" style="126" hidden="1" customWidth="1"/>
    <col min="524" max="524" width="14.28515625" style="126" customWidth="1"/>
    <col min="525" max="525" width="0" style="126" hidden="1" customWidth="1"/>
    <col min="526" max="526" width="14.28515625" style="126" customWidth="1"/>
    <col min="527" max="768" width="11.42578125" style="126"/>
    <col min="769" max="769" width="39.5703125" style="126" bestFit="1" customWidth="1"/>
    <col min="770" max="771" width="0" style="126" hidden="1" customWidth="1"/>
    <col min="772" max="772" width="14.28515625" style="126" customWidth="1"/>
    <col min="773" max="773" width="0" style="126" hidden="1" customWidth="1"/>
    <col min="774" max="774" width="14.28515625" style="126" customWidth="1"/>
    <col min="775" max="775" width="0" style="126" hidden="1" customWidth="1"/>
    <col min="776" max="776" width="14.28515625" style="126" customWidth="1"/>
    <col min="777" max="777" width="0" style="126" hidden="1" customWidth="1"/>
    <col min="778" max="778" width="14.28515625" style="126" customWidth="1"/>
    <col min="779" max="779" width="0" style="126" hidden="1" customWidth="1"/>
    <col min="780" max="780" width="14.28515625" style="126" customWidth="1"/>
    <col min="781" max="781" width="0" style="126" hidden="1" customWidth="1"/>
    <col min="782" max="782" width="14.28515625" style="126" customWidth="1"/>
    <col min="783" max="1024" width="11.42578125" style="126"/>
    <col min="1025" max="1025" width="39.5703125" style="126" bestFit="1" customWidth="1"/>
    <col min="1026" max="1027" width="0" style="126" hidden="1" customWidth="1"/>
    <col min="1028" max="1028" width="14.28515625" style="126" customWidth="1"/>
    <col min="1029" max="1029" width="0" style="126" hidden="1" customWidth="1"/>
    <col min="1030" max="1030" width="14.28515625" style="126" customWidth="1"/>
    <col min="1031" max="1031" width="0" style="126" hidden="1" customWidth="1"/>
    <col min="1032" max="1032" width="14.28515625" style="126" customWidth="1"/>
    <col min="1033" max="1033" width="0" style="126" hidden="1" customWidth="1"/>
    <col min="1034" max="1034" width="14.28515625" style="126" customWidth="1"/>
    <col min="1035" max="1035" width="0" style="126" hidden="1" customWidth="1"/>
    <col min="1036" max="1036" width="14.28515625" style="126" customWidth="1"/>
    <col min="1037" max="1037" width="0" style="126" hidden="1" customWidth="1"/>
    <col min="1038" max="1038" width="14.28515625" style="126" customWidth="1"/>
    <col min="1039" max="1280" width="11.42578125" style="126"/>
    <col min="1281" max="1281" width="39.5703125" style="126" bestFit="1" customWidth="1"/>
    <col min="1282" max="1283" width="0" style="126" hidden="1" customWidth="1"/>
    <col min="1284" max="1284" width="14.28515625" style="126" customWidth="1"/>
    <col min="1285" max="1285" width="0" style="126" hidden="1" customWidth="1"/>
    <col min="1286" max="1286" width="14.28515625" style="126" customWidth="1"/>
    <col min="1287" max="1287" width="0" style="126" hidden="1" customWidth="1"/>
    <col min="1288" max="1288" width="14.28515625" style="126" customWidth="1"/>
    <col min="1289" max="1289" width="0" style="126" hidden="1" customWidth="1"/>
    <col min="1290" max="1290" width="14.28515625" style="126" customWidth="1"/>
    <col min="1291" max="1291" width="0" style="126" hidden="1" customWidth="1"/>
    <col min="1292" max="1292" width="14.28515625" style="126" customWidth="1"/>
    <col min="1293" max="1293" width="0" style="126" hidden="1" customWidth="1"/>
    <col min="1294" max="1294" width="14.28515625" style="126" customWidth="1"/>
    <col min="1295" max="1536" width="11.42578125" style="126"/>
    <col min="1537" max="1537" width="39.5703125" style="126" bestFit="1" customWidth="1"/>
    <col min="1538" max="1539" width="0" style="126" hidden="1" customWidth="1"/>
    <col min="1540" max="1540" width="14.28515625" style="126" customWidth="1"/>
    <col min="1541" max="1541" width="0" style="126" hidden="1" customWidth="1"/>
    <col min="1542" max="1542" width="14.28515625" style="126" customWidth="1"/>
    <col min="1543" max="1543" width="0" style="126" hidden="1" customWidth="1"/>
    <col min="1544" max="1544" width="14.28515625" style="126" customWidth="1"/>
    <col min="1545" max="1545" width="0" style="126" hidden="1" customWidth="1"/>
    <col min="1546" max="1546" width="14.28515625" style="126" customWidth="1"/>
    <col min="1547" max="1547" width="0" style="126" hidden="1" customWidth="1"/>
    <col min="1548" max="1548" width="14.28515625" style="126" customWidth="1"/>
    <col min="1549" max="1549" width="0" style="126" hidden="1" customWidth="1"/>
    <col min="1550" max="1550" width="14.28515625" style="126" customWidth="1"/>
    <col min="1551" max="1792" width="11.42578125" style="126"/>
    <col min="1793" max="1793" width="39.5703125" style="126" bestFit="1" customWidth="1"/>
    <col min="1794" max="1795" width="0" style="126" hidden="1" customWidth="1"/>
    <col min="1796" max="1796" width="14.28515625" style="126" customWidth="1"/>
    <col min="1797" max="1797" width="0" style="126" hidden="1" customWidth="1"/>
    <col min="1798" max="1798" width="14.28515625" style="126" customWidth="1"/>
    <col min="1799" max="1799" width="0" style="126" hidden="1" customWidth="1"/>
    <col min="1800" max="1800" width="14.28515625" style="126" customWidth="1"/>
    <col min="1801" max="1801" width="0" style="126" hidden="1" customWidth="1"/>
    <col min="1802" max="1802" width="14.28515625" style="126" customWidth="1"/>
    <col min="1803" max="1803" width="0" style="126" hidden="1" customWidth="1"/>
    <col min="1804" max="1804" width="14.28515625" style="126" customWidth="1"/>
    <col min="1805" max="1805" width="0" style="126" hidden="1" customWidth="1"/>
    <col min="1806" max="1806" width="14.28515625" style="126" customWidth="1"/>
    <col min="1807" max="2048" width="11.42578125" style="126"/>
    <col min="2049" max="2049" width="39.5703125" style="126" bestFit="1" customWidth="1"/>
    <col min="2050" max="2051" width="0" style="126" hidden="1" customWidth="1"/>
    <col min="2052" max="2052" width="14.28515625" style="126" customWidth="1"/>
    <col min="2053" max="2053" width="0" style="126" hidden="1" customWidth="1"/>
    <col min="2054" max="2054" width="14.28515625" style="126" customWidth="1"/>
    <col min="2055" max="2055" width="0" style="126" hidden="1" customWidth="1"/>
    <col min="2056" max="2056" width="14.28515625" style="126" customWidth="1"/>
    <col min="2057" max="2057" width="0" style="126" hidden="1" customWidth="1"/>
    <col min="2058" max="2058" width="14.28515625" style="126" customWidth="1"/>
    <col min="2059" max="2059" width="0" style="126" hidden="1" customWidth="1"/>
    <col min="2060" max="2060" width="14.28515625" style="126" customWidth="1"/>
    <col min="2061" max="2061" width="0" style="126" hidden="1" customWidth="1"/>
    <col min="2062" max="2062" width="14.28515625" style="126" customWidth="1"/>
    <col min="2063" max="2304" width="11.42578125" style="126"/>
    <col min="2305" max="2305" width="39.5703125" style="126" bestFit="1" customWidth="1"/>
    <col min="2306" max="2307" width="0" style="126" hidden="1" customWidth="1"/>
    <col min="2308" max="2308" width="14.28515625" style="126" customWidth="1"/>
    <col min="2309" max="2309" width="0" style="126" hidden="1" customWidth="1"/>
    <col min="2310" max="2310" width="14.28515625" style="126" customWidth="1"/>
    <col min="2311" max="2311" width="0" style="126" hidden="1" customWidth="1"/>
    <col min="2312" max="2312" width="14.28515625" style="126" customWidth="1"/>
    <col min="2313" max="2313" width="0" style="126" hidden="1" customWidth="1"/>
    <col min="2314" max="2314" width="14.28515625" style="126" customWidth="1"/>
    <col min="2315" max="2315" width="0" style="126" hidden="1" customWidth="1"/>
    <col min="2316" max="2316" width="14.28515625" style="126" customWidth="1"/>
    <col min="2317" max="2317" width="0" style="126" hidden="1" customWidth="1"/>
    <col min="2318" max="2318" width="14.28515625" style="126" customWidth="1"/>
    <col min="2319" max="2560" width="11.42578125" style="126"/>
    <col min="2561" max="2561" width="39.5703125" style="126" bestFit="1" customWidth="1"/>
    <col min="2562" max="2563" width="0" style="126" hidden="1" customWidth="1"/>
    <col min="2564" max="2564" width="14.28515625" style="126" customWidth="1"/>
    <col min="2565" max="2565" width="0" style="126" hidden="1" customWidth="1"/>
    <col min="2566" max="2566" width="14.28515625" style="126" customWidth="1"/>
    <col min="2567" max="2567" width="0" style="126" hidden="1" customWidth="1"/>
    <col min="2568" max="2568" width="14.28515625" style="126" customWidth="1"/>
    <col min="2569" max="2569" width="0" style="126" hidden="1" customWidth="1"/>
    <col min="2570" max="2570" width="14.28515625" style="126" customWidth="1"/>
    <col min="2571" max="2571" width="0" style="126" hidden="1" customWidth="1"/>
    <col min="2572" max="2572" width="14.28515625" style="126" customWidth="1"/>
    <col min="2573" max="2573" width="0" style="126" hidden="1" customWidth="1"/>
    <col min="2574" max="2574" width="14.28515625" style="126" customWidth="1"/>
    <col min="2575" max="2816" width="11.42578125" style="126"/>
    <col min="2817" max="2817" width="39.5703125" style="126" bestFit="1" customWidth="1"/>
    <col min="2818" max="2819" width="0" style="126" hidden="1" customWidth="1"/>
    <col min="2820" max="2820" width="14.28515625" style="126" customWidth="1"/>
    <col min="2821" max="2821" width="0" style="126" hidden="1" customWidth="1"/>
    <col min="2822" max="2822" width="14.28515625" style="126" customWidth="1"/>
    <col min="2823" max="2823" width="0" style="126" hidden="1" customWidth="1"/>
    <col min="2824" max="2824" width="14.28515625" style="126" customWidth="1"/>
    <col min="2825" max="2825" width="0" style="126" hidden="1" customWidth="1"/>
    <col min="2826" max="2826" width="14.28515625" style="126" customWidth="1"/>
    <col min="2827" max="2827" width="0" style="126" hidden="1" customWidth="1"/>
    <col min="2828" max="2828" width="14.28515625" style="126" customWidth="1"/>
    <col min="2829" max="2829" width="0" style="126" hidden="1" customWidth="1"/>
    <col min="2830" max="2830" width="14.28515625" style="126" customWidth="1"/>
    <col min="2831" max="3072" width="11.42578125" style="126"/>
    <col min="3073" max="3073" width="39.5703125" style="126" bestFit="1" customWidth="1"/>
    <col min="3074" max="3075" width="0" style="126" hidden="1" customWidth="1"/>
    <col min="3076" max="3076" width="14.28515625" style="126" customWidth="1"/>
    <col min="3077" max="3077" width="0" style="126" hidden="1" customWidth="1"/>
    <col min="3078" max="3078" width="14.28515625" style="126" customWidth="1"/>
    <col min="3079" max="3079" width="0" style="126" hidden="1" customWidth="1"/>
    <col min="3080" max="3080" width="14.28515625" style="126" customWidth="1"/>
    <col min="3081" max="3081" width="0" style="126" hidden="1" customWidth="1"/>
    <col min="3082" max="3082" width="14.28515625" style="126" customWidth="1"/>
    <col min="3083" max="3083" width="0" style="126" hidden="1" customWidth="1"/>
    <col min="3084" max="3084" width="14.28515625" style="126" customWidth="1"/>
    <col min="3085" max="3085" width="0" style="126" hidden="1" customWidth="1"/>
    <col min="3086" max="3086" width="14.28515625" style="126" customWidth="1"/>
    <col min="3087" max="3328" width="11.42578125" style="126"/>
    <col min="3329" max="3329" width="39.5703125" style="126" bestFit="1" customWidth="1"/>
    <col min="3330" max="3331" width="0" style="126" hidden="1" customWidth="1"/>
    <col min="3332" max="3332" width="14.28515625" style="126" customWidth="1"/>
    <col min="3333" max="3333" width="0" style="126" hidden="1" customWidth="1"/>
    <col min="3334" max="3334" width="14.28515625" style="126" customWidth="1"/>
    <col min="3335" max="3335" width="0" style="126" hidden="1" customWidth="1"/>
    <col min="3336" max="3336" width="14.28515625" style="126" customWidth="1"/>
    <col min="3337" max="3337" width="0" style="126" hidden="1" customWidth="1"/>
    <col min="3338" max="3338" width="14.28515625" style="126" customWidth="1"/>
    <col min="3339" max="3339" width="0" style="126" hidden="1" customWidth="1"/>
    <col min="3340" max="3340" width="14.28515625" style="126" customWidth="1"/>
    <col min="3341" max="3341" width="0" style="126" hidden="1" customWidth="1"/>
    <col min="3342" max="3342" width="14.28515625" style="126" customWidth="1"/>
    <col min="3343" max="3584" width="11.42578125" style="126"/>
    <col min="3585" max="3585" width="39.5703125" style="126" bestFit="1" customWidth="1"/>
    <col min="3586" max="3587" width="0" style="126" hidden="1" customWidth="1"/>
    <col min="3588" max="3588" width="14.28515625" style="126" customWidth="1"/>
    <col min="3589" max="3589" width="0" style="126" hidden="1" customWidth="1"/>
    <col min="3590" max="3590" width="14.28515625" style="126" customWidth="1"/>
    <col min="3591" max="3591" width="0" style="126" hidden="1" customWidth="1"/>
    <col min="3592" max="3592" width="14.28515625" style="126" customWidth="1"/>
    <col min="3593" max="3593" width="0" style="126" hidden="1" customWidth="1"/>
    <col min="3594" max="3594" width="14.28515625" style="126" customWidth="1"/>
    <col min="3595" max="3595" width="0" style="126" hidden="1" customWidth="1"/>
    <col min="3596" max="3596" width="14.28515625" style="126" customWidth="1"/>
    <col min="3597" max="3597" width="0" style="126" hidden="1" customWidth="1"/>
    <col min="3598" max="3598" width="14.28515625" style="126" customWidth="1"/>
    <col min="3599" max="3840" width="11.42578125" style="126"/>
    <col min="3841" max="3841" width="39.5703125" style="126" bestFit="1" customWidth="1"/>
    <col min="3842" max="3843" width="0" style="126" hidden="1" customWidth="1"/>
    <col min="3844" max="3844" width="14.28515625" style="126" customWidth="1"/>
    <col min="3845" max="3845" width="0" style="126" hidden="1" customWidth="1"/>
    <col min="3846" max="3846" width="14.28515625" style="126" customWidth="1"/>
    <col min="3847" max="3847" width="0" style="126" hidden="1" customWidth="1"/>
    <col min="3848" max="3848" width="14.28515625" style="126" customWidth="1"/>
    <col min="3849" max="3849" width="0" style="126" hidden="1" customWidth="1"/>
    <col min="3850" max="3850" width="14.28515625" style="126" customWidth="1"/>
    <col min="3851" max="3851" width="0" style="126" hidden="1" customWidth="1"/>
    <col min="3852" max="3852" width="14.28515625" style="126" customWidth="1"/>
    <col min="3853" max="3853" width="0" style="126" hidden="1" customWidth="1"/>
    <col min="3854" max="3854" width="14.28515625" style="126" customWidth="1"/>
    <col min="3855" max="4096" width="11.42578125" style="126"/>
    <col min="4097" max="4097" width="39.5703125" style="126" bestFit="1" customWidth="1"/>
    <col min="4098" max="4099" width="0" style="126" hidden="1" customWidth="1"/>
    <col min="4100" max="4100" width="14.28515625" style="126" customWidth="1"/>
    <col min="4101" max="4101" width="0" style="126" hidden="1" customWidth="1"/>
    <col min="4102" max="4102" width="14.28515625" style="126" customWidth="1"/>
    <col min="4103" max="4103" width="0" style="126" hidden="1" customWidth="1"/>
    <col min="4104" max="4104" width="14.28515625" style="126" customWidth="1"/>
    <col min="4105" max="4105" width="0" style="126" hidden="1" customWidth="1"/>
    <col min="4106" max="4106" width="14.28515625" style="126" customWidth="1"/>
    <col min="4107" max="4107" width="0" style="126" hidden="1" customWidth="1"/>
    <col min="4108" max="4108" width="14.28515625" style="126" customWidth="1"/>
    <col min="4109" max="4109" width="0" style="126" hidden="1" customWidth="1"/>
    <col min="4110" max="4110" width="14.28515625" style="126" customWidth="1"/>
    <col min="4111" max="4352" width="11.42578125" style="126"/>
    <col min="4353" max="4353" width="39.5703125" style="126" bestFit="1" customWidth="1"/>
    <col min="4354" max="4355" width="0" style="126" hidden="1" customWidth="1"/>
    <col min="4356" max="4356" width="14.28515625" style="126" customWidth="1"/>
    <col min="4357" max="4357" width="0" style="126" hidden="1" customWidth="1"/>
    <col min="4358" max="4358" width="14.28515625" style="126" customWidth="1"/>
    <col min="4359" max="4359" width="0" style="126" hidden="1" customWidth="1"/>
    <col min="4360" max="4360" width="14.28515625" style="126" customWidth="1"/>
    <col min="4361" max="4361" width="0" style="126" hidden="1" customWidth="1"/>
    <col min="4362" max="4362" width="14.28515625" style="126" customWidth="1"/>
    <col min="4363" max="4363" width="0" style="126" hidden="1" customWidth="1"/>
    <col min="4364" max="4364" width="14.28515625" style="126" customWidth="1"/>
    <col min="4365" max="4365" width="0" style="126" hidden="1" customWidth="1"/>
    <col min="4366" max="4366" width="14.28515625" style="126" customWidth="1"/>
    <col min="4367" max="4608" width="11.42578125" style="126"/>
    <col min="4609" max="4609" width="39.5703125" style="126" bestFit="1" customWidth="1"/>
    <col min="4610" max="4611" width="0" style="126" hidden="1" customWidth="1"/>
    <col min="4612" max="4612" width="14.28515625" style="126" customWidth="1"/>
    <col min="4613" max="4613" width="0" style="126" hidden="1" customWidth="1"/>
    <col min="4614" max="4614" width="14.28515625" style="126" customWidth="1"/>
    <col min="4615" max="4615" width="0" style="126" hidden="1" customWidth="1"/>
    <col min="4616" max="4616" width="14.28515625" style="126" customWidth="1"/>
    <col min="4617" max="4617" width="0" style="126" hidden="1" customWidth="1"/>
    <col min="4618" max="4618" width="14.28515625" style="126" customWidth="1"/>
    <col min="4619" max="4619" width="0" style="126" hidden="1" customWidth="1"/>
    <col min="4620" max="4620" width="14.28515625" style="126" customWidth="1"/>
    <col min="4621" max="4621" width="0" style="126" hidden="1" customWidth="1"/>
    <col min="4622" max="4622" width="14.28515625" style="126" customWidth="1"/>
    <col min="4623" max="4864" width="11.42578125" style="126"/>
    <col min="4865" max="4865" width="39.5703125" style="126" bestFit="1" customWidth="1"/>
    <col min="4866" max="4867" width="0" style="126" hidden="1" customWidth="1"/>
    <col min="4868" max="4868" width="14.28515625" style="126" customWidth="1"/>
    <col min="4869" max="4869" width="0" style="126" hidden="1" customWidth="1"/>
    <col min="4870" max="4870" width="14.28515625" style="126" customWidth="1"/>
    <col min="4871" max="4871" width="0" style="126" hidden="1" customWidth="1"/>
    <col min="4872" max="4872" width="14.28515625" style="126" customWidth="1"/>
    <col min="4873" max="4873" width="0" style="126" hidden="1" customWidth="1"/>
    <col min="4874" max="4874" width="14.28515625" style="126" customWidth="1"/>
    <col min="4875" max="4875" width="0" style="126" hidden="1" customWidth="1"/>
    <col min="4876" max="4876" width="14.28515625" style="126" customWidth="1"/>
    <col min="4877" max="4877" width="0" style="126" hidden="1" customWidth="1"/>
    <col min="4878" max="4878" width="14.28515625" style="126" customWidth="1"/>
    <col min="4879" max="5120" width="11.42578125" style="126"/>
    <col min="5121" max="5121" width="39.5703125" style="126" bestFit="1" customWidth="1"/>
    <col min="5122" max="5123" width="0" style="126" hidden="1" customWidth="1"/>
    <col min="5124" max="5124" width="14.28515625" style="126" customWidth="1"/>
    <col min="5125" max="5125" width="0" style="126" hidden="1" customWidth="1"/>
    <col min="5126" max="5126" width="14.28515625" style="126" customWidth="1"/>
    <col min="5127" max="5127" width="0" style="126" hidden="1" customWidth="1"/>
    <col min="5128" max="5128" width="14.28515625" style="126" customWidth="1"/>
    <col min="5129" max="5129" width="0" style="126" hidden="1" customWidth="1"/>
    <col min="5130" max="5130" width="14.28515625" style="126" customWidth="1"/>
    <col min="5131" max="5131" width="0" style="126" hidden="1" customWidth="1"/>
    <col min="5132" max="5132" width="14.28515625" style="126" customWidth="1"/>
    <col min="5133" max="5133" width="0" style="126" hidden="1" customWidth="1"/>
    <col min="5134" max="5134" width="14.28515625" style="126" customWidth="1"/>
    <col min="5135" max="5376" width="11.42578125" style="126"/>
    <col min="5377" max="5377" width="39.5703125" style="126" bestFit="1" customWidth="1"/>
    <col min="5378" max="5379" width="0" style="126" hidden="1" customWidth="1"/>
    <col min="5380" max="5380" width="14.28515625" style="126" customWidth="1"/>
    <col min="5381" max="5381" width="0" style="126" hidden="1" customWidth="1"/>
    <col min="5382" max="5382" width="14.28515625" style="126" customWidth="1"/>
    <col min="5383" max="5383" width="0" style="126" hidden="1" customWidth="1"/>
    <col min="5384" max="5384" width="14.28515625" style="126" customWidth="1"/>
    <col min="5385" max="5385" width="0" style="126" hidden="1" customWidth="1"/>
    <col min="5386" max="5386" width="14.28515625" style="126" customWidth="1"/>
    <col min="5387" max="5387" width="0" style="126" hidden="1" customWidth="1"/>
    <col min="5388" max="5388" width="14.28515625" style="126" customWidth="1"/>
    <col min="5389" max="5389" width="0" style="126" hidden="1" customWidth="1"/>
    <col min="5390" max="5390" width="14.28515625" style="126" customWidth="1"/>
    <col min="5391" max="5632" width="11.42578125" style="126"/>
    <col min="5633" max="5633" width="39.5703125" style="126" bestFit="1" customWidth="1"/>
    <col min="5634" max="5635" width="0" style="126" hidden="1" customWidth="1"/>
    <col min="5636" max="5636" width="14.28515625" style="126" customWidth="1"/>
    <col min="5637" max="5637" width="0" style="126" hidden="1" customWidth="1"/>
    <col min="5638" max="5638" width="14.28515625" style="126" customWidth="1"/>
    <col min="5639" max="5639" width="0" style="126" hidden="1" customWidth="1"/>
    <col min="5640" max="5640" width="14.28515625" style="126" customWidth="1"/>
    <col min="5641" max="5641" width="0" style="126" hidden="1" customWidth="1"/>
    <col min="5642" max="5642" width="14.28515625" style="126" customWidth="1"/>
    <col min="5643" max="5643" width="0" style="126" hidden="1" customWidth="1"/>
    <col min="5644" max="5644" width="14.28515625" style="126" customWidth="1"/>
    <col min="5645" max="5645" width="0" style="126" hidden="1" customWidth="1"/>
    <col min="5646" max="5646" width="14.28515625" style="126" customWidth="1"/>
    <col min="5647" max="5888" width="11.42578125" style="126"/>
    <col min="5889" max="5889" width="39.5703125" style="126" bestFit="1" customWidth="1"/>
    <col min="5890" max="5891" width="0" style="126" hidden="1" customWidth="1"/>
    <col min="5892" max="5892" width="14.28515625" style="126" customWidth="1"/>
    <col min="5893" max="5893" width="0" style="126" hidden="1" customWidth="1"/>
    <col min="5894" max="5894" width="14.28515625" style="126" customWidth="1"/>
    <col min="5895" max="5895" width="0" style="126" hidden="1" customWidth="1"/>
    <col min="5896" max="5896" width="14.28515625" style="126" customWidth="1"/>
    <col min="5897" max="5897" width="0" style="126" hidden="1" customWidth="1"/>
    <col min="5898" max="5898" width="14.28515625" style="126" customWidth="1"/>
    <col min="5899" max="5899" width="0" style="126" hidden="1" customWidth="1"/>
    <col min="5900" max="5900" width="14.28515625" style="126" customWidth="1"/>
    <col min="5901" max="5901" width="0" style="126" hidden="1" customWidth="1"/>
    <col min="5902" max="5902" width="14.28515625" style="126" customWidth="1"/>
    <col min="5903" max="6144" width="11.42578125" style="126"/>
    <col min="6145" max="6145" width="39.5703125" style="126" bestFit="1" customWidth="1"/>
    <col min="6146" max="6147" width="0" style="126" hidden="1" customWidth="1"/>
    <col min="6148" max="6148" width="14.28515625" style="126" customWidth="1"/>
    <col min="6149" max="6149" width="0" style="126" hidden="1" customWidth="1"/>
    <col min="6150" max="6150" width="14.28515625" style="126" customWidth="1"/>
    <col min="6151" max="6151" width="0" style="126" hidden="1" customWidth="1"/>
    <col min="6152" max="6152" width="14.28515625" style="126" customWidth="1"/>
    <col min="6153" max="6153" width="0" style="126" hidden="1" customWidth="1"/>
    <col min="6154" max="6154" width="14.28515625" style="126" customWidth="1"/>
    <col min="6155" max="6155" width="0" style="126" hidden="1" customWidth="1"/>
    <col min="6156" max="6156" width="14.28515625" style="126" customWidth="1"/>
    <col min="6157" max="6157" width="0" style="126" hidden="1" customWidth="1"/>
    <col min="6158" max="6158" width="14.28515625" style="126" customWidth="1"/>
    <col min="6159" max="6400" width="11.42578125" style="126"/>
    <col min="6401" max="6401" width="39.5703125" style="126" bestFit="1" customWidth="1"/>
    <col min="6402" max="6403" width="0" style="126" hidden="1" customWidth="1"/>
    <col min="6404" max="6404" width="14.28515625" style="126" customWidth="1"/>
    <col min="6405" max="6405" width="0" style="126" hidden="1" customWidth="1"/>
    <col min="6406" max="6406" width="14.28515625" style="126" customWidth="1"/>
    <col min="6407" max="6407" width="0" style="126" hidden="1" customWidth="1"/>
    <col min="6408" max="6408" width="14.28515625" style="126" customWidth="1"/>
    <col min="6409" max="6409" width="0" style="126" hidden="1" customWidth="1"/>
    <col min="6410" max="6410" width="14.28515625" style="126" customWidth="1"/>
    <col min="6411" max="6411" width="0" style="126" hidden="1" customWidth="1"/>
    <col min="6412" max="6412" width="14.28515625" style="126" customWidth="1"/>
    <col min="6413" max="6413" width="0" style="126" hidden="1" customWidth="1"/>
    <col min="6414" max="6414" width="14.28515625" style="126" customWidth="1"/>
    <col min="6415" max="6656" width="11.42578125" style="126"/>
    <col min="6657" max="6657" width="39.5703125" style="126" bestFit="1" customWidth="1"/>
    <col min="6658" max="6659" width="0" style="126" hidden="1" customWidth="1"/>
    <col min="6660" max="6660" width="14.28515625" style="126" customWidth="1"/>
    <col min="6661" max="6661" width="0" style="126" hidden="1" customWidth="1"/>
    <col min="6662" max="6662" width="14.28515625" style="126" customWidth="1"/>
    <col min="6663" max="6663" width="0" style="126" hidden="1" customWidth="1"/>
    <col min="6664" max="6664" width="14.28515625" style="126" customWidth="1"/>
    <col min="6665" max="6665" width="0" style="126" hidden="1" customWidth="1"/>
    <col min="6666" max="6666" width="14.28515625" style="126" customWidth="1"/>
    <col min="6667" max="6667" width="0" style="126" hidden="1" customWidth="1"/>
    <col min="6668" max="6668" width="14.28515625" style="126" customWidth="1"/>
    <col min="6669" max="6669" width="0" style="126" hidden="1" customWidth="1"/>
    <col min="6670" max="6670" width="14.28515625" style="126" customWidth="1"/>
    <col min="6671" max="6912" width="11.42578125" style="126"/>
    <col min="6913" max="6913" width="39.5703125" style="126" bestFit="1" customWidth="1"/>
    <col min="6914" max="6915" width="0" style="126" hidden="1" customWidth="1"/>
    <col min="6916" max="6916" width="14.28515625" style="126" customWidth="1"/>
    <col min="6917" max="6917" width="0" style="126" hidden="1" customWidth="1"/>
    <col min="6918" max="6918" width="14.28515625" style="126" customWidth="1"/>
    <col min="6919" max="6919" width="0" style="126" hidden="1" customWidth="1"/>
    <col min="6920" max="6920" width="14.28515625" style="126" customWidth="1"/>
    <col min="6921" max="6921" width="0" style="126" hidden="1" customWidth="1"/>
    <col min="6922" max="6922" width="14.28515625" style="126" customWidth="1"/>
    <col min="6923" max="6923" width="0" style="126" hidden="1" customWidth="1"/>
    <col min="6924" max="6924" width="14.28515625" style="126" customWidth="1"/>
    <col min="6925" max="6925" width="0" style="126" hidden="1" customWidth="1"/>
    <col min="6926" max="6926" width="14.28515625" style="126" customWidth="1"/>
    <col min="6927" max="7168" width="11.42578125" style="126"/>
    <col min="7169" max="7169" width="39.5703125" style="126" bestFit="1" customWidth="1"/>
    <col min="7170" max="7171" width="0" style="126" hidden="1" customWidth="1"/>
    <col min="7172" max="7172" width="14.28515625" style="126" customWidth="1"/>
    <col min="7173" max="7173" width="0" style="126" hidden="1" customWidth="1"/>
    <col min="7174" max="7174" width="14.28515625" style="126" customWidth="1"/>
    <col min="7175" max="7175" width="0" style="126" hidden="1" customWidth="1"/>
    <col min="7176" max="7176" width="14.28515625" style="126" customWidth="1"/>
    <col min="7177" max="7177" width="0" style="126" hidden="1" customWidth="1"/>
    <col min="7178" max="7178" width="14.28515625" style="126" customWidth="1"/>
    <col min="7179" max="7179" width="0" style="126" hidden="1" customWidth="1"/>
    <col min="7180" max="7180" width="14.28515625" style="126" customWidth="1"/>
    <col min="7181" max="7181" width="0" style="126" hidden="1" customWidth="1"/>
    <col min="7182" max="7182" width="14.28515625" style="126" customWidth="1"/>
    <col min="7183" max="7424" width="11.42578125" style="126"/>
    <col min="7425" max="7425" width="39.5703125" style="126" bestFit="1" customWidth="1"/>
    <col min="7426" max="7427" width="0" style="126" hidden="1" customWidth="1"/>
    <col min="7428" max="7428" width="14.28515625" style="126" customWidth="1"/>
    <col min="7429" max="7429" width="0" style="126" hidden="1" customWidth="1"/>
    <col min="7430" max="7430" width="14.28515625" style="126" customWidth="1"/>
    <col min="7431" max="7431" width="0" style="126" hidden="1" customWidth="1"/>
    <col min="7432" max="7432" width="14.28515625" style="126" customWidth="1"/>
    <col min="7433" max="7433" width="0" style="126" hidden="1" customWidth="1"/>
    <col min="7434" max="7434" width="14.28515625" style="126" customWidth="1"/>
    <col min="7435" max="7435" width="0" style="126" hidden="1" customWidth="1"/>
    <col min="7436" max="7436" width="14.28515625" style="126" customWidth="1"/>
    <col min="7437" max="7437" width="0" style="126" hidden="1" customWidth="1"/>
    <col min="7438" max="7438" width="14.28515625" style="126" customWidth="1"/>
    <col min="7439" max="7680" width="11.42578125" style="126"/>
    <col min="7681" max="7681" width="39.5703125" style="126" bestFit="1" customWidth="1"/>
    <col min="7682" max="7683" width="0" style="126" hidden="1" customWidth="1"/>
    <col min="7684" max="7684" width="14.28515625" style="126" customWidth="1"/>
    <col min="7685" max="7685" width="0" style="126" hidden="1" customWidth="1"/>
    <col min="7686" max="7686" width="14.28515625" style="126" customWidth="1"/>
    <col min="7687" max="7687" width="0" style="126" hidden="1" customWidth="1"/>
    <col min="7688" max="7688" width="14.28515625" style="126" customWidth="1"/>
    <col min="7689" max="7689" width="0" style="126" hidden="1" customWidth="1"/>
    <col min="7690" max="7690" width="14.28515625" style="126" customWidth="1"/>
    <col min="7691" max="7691" width="0" style="126" hidden="1" customWidth="1"/>
    <col min="7692" max="7692" width="14.28515625" style="126" customWidth="1"/>
    <col min="7693" max="7693" width="0" style="126" hidden="1" customWidth="1"/>
    <col min="7694" max="7694" width="14.28515625" style="126" customWidth="1"/>
    <col min="7695" max="7936" width="11.42578125" style="126"/>
    <col min="7937" max="7937" width="39.5703125" style="126" bestFit="1" customWidth="1"/>
    <col min="7938" max="7939" width="0" style="126" hidden="1" customWidth="1"/>
    <col min="7940" max="7940" width="14.28515625" style="126" customWidth="1"/>
    <col min="7941" max="7941" width="0" style="126" hidden="1" customWidth="1"/>
    <col min="7942" max="7942" width="14.28515625" style="126" customWidth="1"/>
    <col min="7943" max="7943" width="0" style="126" hidden="1" customWidth="1"/>
    <col min="7944" max="7944" width="14.28515625" style="126" customWidth="1"/>
    <col min="7945" max="7945" width="0" style="126" hidden="1" customWidth="1"/>
    <col min="7946" max="7946" width="14.28515625" style="126" customWidth="1"/>
    <col min="7947" max="7947" width="0" style="126" hidden="1" customWidth="1"/>
    <col min="7948" max="7948" width="14.28515625" style="126" customWidth="1"/>
    <col min="7949" max="7949" width="0" style="126" hidden="1" customWidth="1"/>
    <col min="7950" max="7950" width="14.28515625" style="126" customWidth="1"/>
    <col min="7951" max="8192" width="11.42578125" style="126"/>
    <col min="8193" max="8193" width="39.5703125" style="126" bestFit="1" customWidth="1"/>
    <col min="8194" max="8195" width="0" style="126" hidden="1" customWidth="1"/>
    <col min="8196" max="8196" width="14.28515625" style="126" customWidth="1"/>
    <col min="8197" max="8197" width="0" style="126" hidden="1" customWidth="1"/>
    <col min="8198" max="8198" width="14.28515625" style="126" customWidth="1"/>
    <col min="8199" max="8199" width="0" style="126" hidden="1" customWidth="1"/>
    <col min="8200" max="8200" width="14.28515625" style="126" customWidth="1"/>
    <col min="8201" max="8201" width="0" style="126" hidden="1" customWidth="1"/>
    <col min="8202" max="8202" width="14.28515625" style="126" customWidth="1"/>
    <col min="8203" max="8203" width="0" style="126" hidden="1" customWidth="1"/>
    <col min="8204" max="8204" width="14.28515625" style="126" customWidth="1"/>
    <col min="8205" max="8205" width="0" style="126" hidden="1" customWidth="1"/>
    <col min="8206" max="8206" width="14.28515625" style="126" customWidth="1"/>
    <col min="8207" max="8448" width="11.42578125" style="126"/>
    <col min="8449" max="8449" width="39.5703125" style="126" bestFit="1" customWidth="1"/>
    <col min="8450" max="8451" width="0" style="126" hidden="1" customWidth="1"/>
    <col min="8452" max="8452" width="14.28515625" style="126" customWidth="1"/>
    <col min="8453" max="8453" width="0" style="126" hidden="1" customWidth="1"/>
    <col min="8454" max="8454" width="14.28515625" style="126" customWidth="1"/>
    <col min="8455" max="8455" width="0" style="126" hidden="1" customWidth="1"/>
    <col min="8456" max="8456" width="14.28515625" style="126" customWidth="1"/>
    <col min="8457" max="8457" width="0" style="126" hidden="1" customWidth="1"/>
    <col min="8458" max="8458" width="14.28515625" style="126" customWidth="1"/>
    <col min="8459" max="8459" width="0" style="126" hidden="1" customWidth="1"/>
    <col min="8460" max="8460" width="14.28515625" style="126" customWidth="1"/>
    <col min="8461" max="8461" width="0" style="126" hidden="1" customWidth="1"/>
    <col min="8462" max="8462" width="14.28515625" style="126" customWidth="1"/>
    <col min="8463" max="8704" width="11.42578125" style="126"/>
    <col min="8705" max="8705" width="39.5703125" style="126" bestFit="1" customWidth="1"/>
    <col min="8706" max="8707" width="0" style="126" hidden="1" customWidth="1"/>
    <col min="8708" max="8708" width="14.28515625" style="126" customWidth="1"/>
    <col min="8709" max="8709" width="0" style="126" hidden="1" customWidth="1"/>
    <col min="8710" max="8710" width="14.28515625" style="126" customWidth="1"/>
    <col min="8711" max="8711" width="0" style="126" hidden="1" customWidth="1"/>
    <col min="8712" max="8712" width="14.28515625" style="126" customWidth="1"/>
    <col min="8713" max="8713" width="0" style="126" hidden="1" customWidth="1"/>
    <col min="8714" max="8714" width="14.28515625" style="126" customWidth="1"/>
    <col min="8715" max="8715" width="0" style="126" hidden="1" customWidth="1"/>
    <col min="8716" max="8716" width="14.28515625" style="126" customWidth="1"/>
    <col min="8717" max="8717" width="0" style="126" hidden="1" customWidth="1"/>
    <col min="8718" max="8718" width="14.28515625" style="126" customWidth="1"/>
    <col min="8719" max="8960" width="11.42578125" style="126"/>
    <col min="8961" max="8961" width="39.5703125" style="126" bestFit="1" customWidth="1"/>
    <col min="8962" max="8963" width="0" style="126" hidden="1" customWidth="1"/>
    <col min="8964" max="8964" width="14.28515625" style="126" customWidth="1"/>
    <col min="8965" max="8965" width="0" style="126" hidden="1" customWidth="1"/>
    <col min="8966" max="8966" width="14.28515625" style="126" customWidth="1"/>
    <col min="8967" max="8967" width="0" style="126" hidden="1" customWidth="1"/>
    <col min="8968" max="8968" width="14.28515625" style="126" customWidth="1"/>
    <col min="8969" max="8969" width="0" style="126" hidden="1" customWidth="1"/>
    <col min="8970" max="8970" width="14.28515625" style="126" customWidth="1"/>
    <col min="8971" max="8971" width="0" style="126" hidden="1" customWidth="1"/>
    <col min="8972" max="8972" width="14.28515625" style="126" customWidth="1"/>
    <col min="8973" max="8973" width="0" style="126" hidden="1" customWidth="1"/>
    <col min="8974" max="8974" width="14.28515625" style="126" customWidth="1"/>
    <col min="8975" max="9216" width="11.42578125" style="126"/>
    <col min="9217" max="9217" width="39.5703125" style="126" bestFit="1" customWidth="1"/>
    <col min="9218" max="9219" width="0" style="126" hidden="1" customWidth="1"/>
    <col min="9220" max="9220" width="14.28515625" style="126" customWidth="1"/>
    <col min="9221" max="9221" width="0" style="126" hidden="1" customWidth="1"/>
    <col min="9222" max="9222" width="14.28515625" style="126" customWidth="1"/>
    <col min="9223" max="9223" width="0" style="126" hidden="1" customWidth="1"/>
    <col min="9224" max="9224" width="14.28515625" style="126" customWidth="1"/>
    <col min="9225" max="9225" width="0" style="126" hidden="1" customWidth="1"/>
    <col min="9226" max="9226" width="14.28515625" style="126" customWidth="1"/>
    <col min="9227" max="9227" width="0" style="126" hidden="1" customWidth="1"/>
    <col min="9228" max="9228" width="14.28515625" style="126" customWidth="1"/>
    <col min="9229" max="9229" width="0" style="126" hidden="1" customWidth="1"/>
    <col min="9230" max="9230" width="14.28515625" style="126" customWidth="1"/>
    <col min="9231" max="9472" width="11.42578125" style="126"/>
    <col min="9473" max="9473" width="39.5703125" style="126" bestFit="1" customWidth="1"/>
    <col min="9474" max="9475" width="0" style="126" hidden="1" customWidth="1"/>
    <col min="9476" max="9476" width="14.28515625" style="126" customWidth="1"/>
    <col min="9477" max="9477" width="0" style="126" hidden="1" customWidth="1"/>
    <col min="9478" max="9478" width="14.28515625" style="126" customWidth="1"/>
    <col min="9479" max="9479" width="0" style="126" hidden="1" customWidth="1"/>
    <col min="9480" max="9480" width="14.28515625" style="126" customWidth="1"/>
    <col min="9481" max="9481" width="0" style="126" hidden="1" customWidth="1"/>
    <col min="9482" max="9482" width="14.28515625" style="126" customWidth="1"/>
    <col min="9483" max="9483" width="0" style="126" hidden="1" customWidth="1"/>
    <col min="9484" max="9484" width="14.28515625" style="126" customWidth="1"/>
    <col min="9485" max="9485" width="0" style="126" hidden="1" customWidth="1"/>
    <col min="9486" max="9486" width="14.28515625" style="126" customWidth="1"/>
    <col min="9487" max="9728" width="11.42578125" style="126"/>
    <col min="9729" max="9729" width="39.5703125" style="126" bestFit="1" customWidth="1"/>
    <col min="9730" max="9731" width="0" style="126" hidden="1" customWidth="1"/>
    <col min="9732" max="9732" width="14.28515625" style="126" customWidth="1"/>
    <col min="9733" max="9733" width="0" style="126" hidden="1" customWidth="1"/>
    <col min="9734" max="9734" width="14.28515625" style="126" customWidth="1"/>
    <col min="9735" max="9735" width="0" style="126" hidden="1" customWidth="1"/>
    <col min="9736" max="9736" width="14.28515625" style="126" customWidth="1"/>
    <col min="9737" max="9737" width="0" style="126" hidden="1" customWidth="1"/>
    <col min="9738" max="9738" width="14.28515625" style="126" customWidth="1"/>
    <col min="9739" max="9739" width="0" style="126" hidden="1" customWidth="1"/>
    <col min="9740" max="9740" width="14.28515625" style="126" customWidth="1"/>
    <col min="9741" max="9741" width="0" style="126" hidden="1" customWidth="1"/>
    <col min="9742" max="9742" width="14.28515625" style="126" customWidth="1"/>
    <col min="9743" max="9984" width="11.42578125" style="126"/>
    <col min="9985" max="9985" width="39.5703125" style="126" bestFit="1" customWidth="1"/>
    <col min="9986" max="9987" width="0" style="126" hidden="1" customWidth="1"/>
    <col min="9988" max="9988" width="14.28515625" style="126" customWidth="1"/>
    <col min="9989" max="9989" width="0" style="126" hidden="1" customWidth="1"/>
    <col min="9990" max="9990" width="14.28515625" style="126" customWidth="1"/>
    <col min="9991" max="9991" width="0" style="126" hidden="1" customWidth="1"/>
    <col min="9992" max="9992" width="14.28515625" style="126" customWidth="1"/>
    <col min="9993" max="9993" width="0" style="126" hidden="1" customWidth="1"/>
    <col min="9994" max="9994" width="14.28515625" style="126" customWidth="1"/>
    <col min="9995" max="9995" width="0" style="126" hidden="1" customWidth="1"/>
    <col min="9996" max="9996" width="14.28515625" style="126" customWidth="1"/>
    <col min="9997" max="9997" width="0" style="126" hidden="1" customWidth="1"/>
    <col min="9998" max="9998" width="14.28515625" style="126" customWidth="1"/>
    <col min="9999" max="10240" width="11.42578125" style="126"/>
    <col min="10241" max="10241" width="39.5703125" style="126" bestFit="1" customWidth="1"/>
    <col min="10242" max="10243" width="0" style="126" hidden="1" customWidth="1"/>
    <col min="10244" max="10244" width="14.28515625" style="126" customWidth="1"/>
    <col min="10245" max="10245" width="0" style="126" hidden="1" customWidth="1"/>
    <col min="10246" max="10246" width="14.28515625" style="126" customWidth="1"/>
    <col min="10247" max="10247" width="0" style="126" hidden="1" customWidth="1"/>
    <col min="10248" max="10248" width="14.28515625" style="126" customWidth="1"/>
    <col min="10249" max="10249" width="0" style="126" hidden="1" customWidth="1"/>
    <col min="10250" max="10250" width="14.28515625" style="126" customWidth="1"/>
    <col min="10251" max="10251" width="0" style="126" hidden="1" customWidth="1"/>
    <col min="10252" max="10252" width="14.28515625" style="126" customWidth="1"/>
    <col min="10253" max="10253" width="0" style="126" hidden="1" customWidth="1"/>
    <col min="10254" max="10254" width="14.28515625" style="126" customWidth="1"/>
    <col min="10255" max="10496" width="11.42578125" style="126"/>
    <col min="10497" max="10497" width="39.5703125" style="126" bestFit="1" customWidth="1"/>
    <col min="10498" max="10499" width="0" style="126" hidden="1" customWidth="1"/>
    <col min="10500" max="10500" width="14.28515625" style="126" customWidth="1"/>
    <col min="10501" max="10501" width="0" style="126" hidden="1" customWidth="1"/>
    <col min="10502" max="10502" width="14.28515625" style="126" customWidth="1"/>
    <col min="10503" max="10503" width="0" style="126" hidden="1" customWidth="1"/>
    <col min="10504" max="10504" width="14.28515625" style="126" customWidth="1"/>
    <col min="10505" max="10505" width="0" style="126" hidden="1" customWidth="1"/>
    <col min="10506" max="10506" width="14.28515625" style="126" customWidth="1"/>
    <col min="10507" max="10507" width="0" style="126" hidden="1" customWidth="1"/>
    <col min="10508" max="10508" width="14.28515625" style="126" customWidth="1"/>
    <col min="10509" max="10509" width="0" style="126" hidden="1" customWidth="1"/>
    <col min="10510" max="10510" width="14.28515625" style="126" customWidth="1"/>
    <col min="10511" max="10752" width="11.42578125" style="126"/>
    <col min="10753" max="10753" width="39.5703125" style="126" bestFit="1" customWidth="1"/>
    <col min="10754" max="10755" width="0" style="126" hidden="1" customWidth="1"/>
    <col min="10756" max="10756" width="14.28515625" style="126" customWidth="1"/>
    <col min="10757" max="10757" width="0" style="126" hidden="1" customWidth="1"/>
    <col min="10758" max="10758" width="14.28515625" style="126" customWidth="1"/>
    <col min="10759" max="10759" width="0" style="126" hidden="1" customWidth="1"/>
    <col min="10760" max="10760" width="14.28515625" style="126" customWidth="1"/>
    <col min="10761" max="10761" width="0" style="126" hidden="1" customWidth="1"/>
    <col min="10762" max="10762" width="14.28515625" style="126" customWidth="1"/>
    <col min="10763" max="10763" width="0" style="126" hidden="1" customWidth="1"/>
    <col min="10764" max="10764" width="14.28515625" style="126" customWidth="1"/>
    <col min="10765" max="10765" width="0" style="126" hidden="1" customWidth="1"/>
    <col min="10766" max="10766" width="14.28515625" style="126" customWidth="1"/>
    <col min="10767" max="11008" width="11.42578125" style="126"/>
    <col min="11009" max="11009" width="39.5703125" style="126" bestFit="1" customWidth="1"/>
    <col min="11010" max="11011" width="0" style="126" hidden="1" customWidth="1"/>
    <col min="11012" max="11012" width="14.28515625" style="126" customWidth="1"/>
    <col min="11013" max="11013" width="0" style="126" hidden="1" customWidth="1"/>
    <col min="11014" max="11014" width="14.28515625" style="126" customWidth="1"/>
    <col min="11015" max="11015" width="0" style="126" hidden="1" customWidth="1"/>
    <col min="11016" max="11016" width="14.28515625" style="126" customWidth="1"/>
    <col min="11017" max="11017" width="0" style="126" hidden="1" customWidth="1"/>
    <col min="11018" max="11018" width="14.28515625" style="126" customWidth="1"/>
    <col min="11019" max="11019" width="0" style="126" hidden="1" customWidth="1"/>
    <col min="11020" max="11020" width="14.28515625" style="126" customWidth="1"/>
    <col min="11021" max="11021" width="0" style="126" hidden="1" customWidth="1"/>
    <col min="11022" max="11022" width="14.28515625" style="126" customWidth="1"/>
    <col min="11023" max="11264" width="11.42578125" style="126"/>
    <col min="11265" max="11265" width="39.5703125" style="126" bestFit="1" customWidth="1"/>
    <col min="11266" max="11267" width="0" style="126" hidden="1" customWidth="1"/>
    <col min="11268" max="11268" width="14.28515625" style="126" customWidth="1"/>
    <col min="11269" max="11269" width="0" style="126" hidden="1" customWidth="1"/>
    <col min="11270" max="11270" width="14.28515625" style="126" customWidth="1"/>
    <col min="11271" max="11271" width="0" style="126" hidden="1" customWidth="1"/>
    <col min="11272" max="11272" width="14.28515625" style="126" customWidth="1"/>
    <col min="11273" max="11273" width="0" style="126" hidden="1" customWidth="1"/>
    <col min="11274" max="11274" width="14.28515625" style="126" customWidth="1"/>
    <col min="11275" max="11275" width="0" style="126" hidden="1" customWidth="1"/>
    <col min="11276" max="11276" width="14.28515625" style="126" customWidth="1"/>
    <col min="11277" max="11277" width="0" style="126" hidden="1" customWidth="1"/>
    <col min="11278" max="11278" width="14.28515625" style="126" customWidth="1"/>
    <col min="11279" max="11520" width="11.42578125" style="126"/>
    <col min="11521" max="11521" width="39.5703125" style="126" bestFit="1" customWidth="1"/>
    <col min="11522" max="11523" width="0" style="126" hidden="1" customWidth="1"/>
    <col min="11524" max="11524" width="14.28515625" style="126" customWidth="1"/>
    <col min="11525" max="11525" width="0" style="126" hidden="1" customWidth="1"/>
    <col min="11526" max="11526" width="14.28515625" style="126" customWidth="1"/>
    <col min="11527" max="11527" width="0" style="126" hidden="1" customWidth="1"/>
    <col min="11528" max="11528" width="14.28515625" style="126" customWidth="1"/>
    <col min="11529" max="11529" width="0" style="126" hidden="1" customWidth="1"/>
    <col min="11530" max="11530" width="14.28515625" style="126" customWidth="1"/>
    <col min="11531" max="11531" width="0" style="126" hidden="1" customWidth="1"/>
    <col min="11532" max="11532" width="14.28515625" style="126" customWidth="1"/>
    <col min="11533" max="11533" width="0" style="126" hidden="1" customWidth="1"/>
    <col min="11534" max="11534" width="14.28515625" style="126" customWidth="1"/>
    <col min="11535" max="11776" width="11.42578125" style="126"/>
    <col min="11777" max="11777" width="39.5703125" style="126" bestFit="1" customWidth="1"/>
    <col min="11778" max="11779" width="0" style="126" hidden="1" customWidth="1"/>
    <col min="11780" max="11780" width="14.28515625" style="126" customWidth="1"/>
    <col min="11781" max="11781" width="0" style="126" hidden="1" customWidth="1"/>
    <col min="11782" max="11782" width="14.28515625" style="126" customWidth="1"/>
    <col min="11783" max="11783" width="0" style="126" hidden="1" customWidth="1"/>
    <col min="11784" max="11784" width="14.28515625" style="126" customWidth="1"/>
    <col min="11785" max="11785" width="0" style="126" hidden="1" customWidth="1"/>
    <col min="11786" max="11786" width="14.28515625" style="126" customWidth="1"/>
    <col min="11787" max="11787" width="0" style="126" hidden="1" customWidth="1"/>
    <col min="11788" max="11788" width="14.28515625" style="126" customWidth="1"/>
    <col min="11789" max="11789" width="0" style="126" hidden="1" customWidth="1"/>
    <col min="11790" max="11790" width="14.28515625" style="126" customWidth="1"/>
    <col min="11791" max="12032" width="11.42578125" style="126"/>
    <col min="12033" max="12033" width="39.5703125" style="126" bestFit="1" customWidth="1"/>
    <col min="12034" max="12035" width="0" style="126" hidden="1" customWidth="1"/>
    <col min="12036" max="12036" width="14.28515625" style="126" customWidth="1"/>
    <col min="12037" max="12037" width="0" style="126" hidden="1" customWidth="1"/>
    <col min="12038" max="12038" width="14.28515625" style="126" customWidth="1"/>
    <col min="12039" max="12039" width="0" style="126" hidden="1" customWidth="1"/>
    <col min="12040" max="12040" width="14.28515625" style="126" customWidth="1"/>
    <col min="12041" max="12041" width="0" style="126" hidden="1" customWidth="1"/>
    <col min="12042" max="12042" width="14.28515625" style="126" customWidth="1"/>
    <col min="12043" max="12043" width="0" style="126" hidden="1" customWidth="1"/>
    <col min="12044" max="12044" width="14.28515625" style="126" customWidth="1"/>
    <col min="12045" max="12045" width="0" style="126" hidden="1" customWidth="1"/>
    <col min="12046" max="12046" width="14.28515625" style="126" customWidth="1"/>
    <col min="12047" max="12288" width="11.42578125" style="126"/>
    <col min="12289" max="12289" width="39.5703125" style="126" bestFit="1" customWidth="1"/>
    <col min="12290" max="12291" width="0" style="126" hidden="1" customWidth="1"/>
    <col min="12292" max="12292" width="14.28515625" style="126" customWidth="1"/>
    <col min="12293" max="12293" width="0" style="126" hidden="1" customWidth="1"/>
    <col min="12294" max="12294" width="14.28515625" style="126" customWidth="1"/>
    <col min="12295" max="12295" width="0" style="126" hidden="1" customWidth="1"/>
    <col min="12296" max="12296" width="14.28515625" style="126" customWidth="1"/>
    <col min="12297" max="12297" width="0" style="126" hidden="1" customWidth="1"/>
    <col min="12298" max="12298" width="14.28515625" style="126" customWidth="1"/>
    <col min="12299" max="12299" width="0" style="126" hidden="1" customWidth="1"/>
    <col min="12300" max="12300" width="14.28515625" style="126" customWidth="1"/>
    <col min="12301" max="12301" width="0" style="126" hidden="1" customWidth="1"/>
    <col min="12302" max="12302" width="14.28515625" style="126" customWidth="1"/>
    <col min="12303" max="12544" width="11.42578125" style="126"/>
    <col min="12545" max="12545" width="39.5703125" style="126" bestFit="1" customWidth="1"/>
    <col min="12546" max="12547" width="0" style="126" hidden="1" customWidth="1"/>
    <col min="12548" max="12548" width="14.28515625" style="126" customWidth="1"/>
    <col min="12549" max="12549" width="0" style="126" hidden="1" customWidth="1"/>
    <col min="12550" max="12550" width="14.28515625" style="126" customWidth="1"/>
    <col min="12551" max="12551" width="0" style="126" hidden="1" customWidth="1"/>
    <col min="12552" max="12552" width="14.28515625" style="126" customWidth="1"/>
    <col min="12553" max="12553" width="0" style="126" hidden="1" customWidth="1"/>
    <col min="12554" max="12554" width="14.28515625" style="126" customWidth="1"/>
    <col min="12555" max="12555" width="0" style="126" hidden="1" customWidth="1"/>
    <col min="12556" max="12556" width="14.28515625" style="126" customWidth="1"/>
    <col min="12557" max="12557" width="0" style="126" hidden="1" customWidth="1"/>
    <col min="12558" max="12558" width="14.28515625" style="126" customWidth="1"/>
    <col min="12559" max="12800" width="11.42578125" style="126"/>
    <col min="12801" max="12801" width="39.5703125" style="126" bestFit="1" customWidth="1"/>
    <col min="12802" max="12803" width="0" style="126" hidden="1" customWidth="1"/>
    <col min="12804" max="12804" width="14.28515625" style="126" customWidth="1"/>
    <col min="12805" max="12805" width="0" style="126" hidden="1" customWidth="1"/>
    <col min="12806" max="12806" width="14.28515625" style="126" customWidth="1"/>
    <col min="12807" max="12807" width="0" style="126" hidden="1" customWidth="1"/>
    <col min="12808" max="12808" width="14.28515625" style="126" customWidth="1"/>
    <col min="12809" max="12809" width="0" style="126" hidden="1" customWidth="1"/>
    <col min="12810" max="12810" width="14.28515625" style="126" customWidth="1"/>
    <col min="12811" max="12811" width="0" style="126" hidden="1" customWidth="1"/>
    <col min="12812" max="12812" width="14.28515625" style="126" customWidth="1"/>
    <col min="12813" max="12813" width="0" style="126" hidden="1" customWidth="1"/>
    <col min="12814" max="12814" width="14.28515625" style="126" customWidth="1"/>
    <col min="12815" max="13056" width="11.42578125" style="126"/>
    <col min="13057" max="13057" width="39.5703125" style="126" bestFit="1" customWidth="1"/>
    <col min="13058" max="13059" width="0" style="126" hidden="1" customWidth="1"/>
    <col min="13060" max="13060" width="14.28515625" style="126" customWidth="1"/>
    <col min="13061" max="13061" width="0" style="126" hidden="1" customWidth="1"/>
    <col min="13062" max="13062" width="14.28515625" style="126" customWidth="1"/>
    <col min="13063" max="13063" width="0" style="126" hidden="1" customWidth="1"/>
    <col min="13064" max="13064" width="14.28515625" style="126" customWidth="1"/>
    <col min="13065" max="13065" width="0" style="126" hidden="1" customWidth="1"/>
    <col min="13066" max="13066" width="14.28515625" style="126" customWidth="1"/>
    <col min="13067" max="13067" width="0" style="126" hidden="1" customWidth="1"/>
    <col min="13068" max="13068" width="14.28515625" style="126" customWidth="1"/>
    <col min="13069" max="13069" width="0" style="126" hidden="1" customWidth="1"/>
    <col min="13070" max="13070" width="14.28515625" style="126" customWidth="1"/>
    <col min="13071" max="13312" width="11.42578125" style="126"/>
    <col min="13313" max="13313" width="39.5703125" style="126" bestFit="1" customWidth="1"/>
    <col min="13314" max="13315" width="0" style="126" hidden="1" customWidth="1"/>
    <col min="13316" max="13316" width="14.28515625" style="126" customWidth="1"/>
    <col min="13317" max="13317" width="0" style="126" hidden="1" customWidth="1"/>
    <col min="13318" max="13318" width="14.28515625" style="126" customWidth="1"/>
    <col min="13319" max="13319" width="0" style="126" hidden="1" customWidth="1"/>
    <col min="13320" max="13320" width="14.28515625" style="126" customWidth="1"/>
    <col min="13321" max="13321" width="0" style="126" hidden="1" customWidth="1"/>
    <col min="13322" max="13322" width="14.28515625" style="126" customWidth="1"/>
    <col min="13323" max="13323" width="0" style="126" hidden="1" customWidth="1"/>
    <col min="13324" max="13324" width="14.28515625" style="126" customWidth="1"/>
    <col min="13325" max="13325" width="0" style="126" hidden="1" customWidth="1"/>
    <col min="13326" max="13326" width="14.28515625" style="126" customWidth="1"/>
    <col min="13327" max="13568" width="11.42578125" style="126"/>
    <col min="13569" max="13569" width="39.5703125" style="126" bestFit="1" customWidth="1"/>
    <col min="13570" max="13571" width="0" style="126" hidden="1" customWidth="1"/>
    <col min="13572" max="13572" width="14.28515625" style="126" customWidth="1"/>
    <col min="13573" max="13573" width="0" style="126" hidden="1" customWidth="1"/>
    <col min="13574" max="13574" width="14.28515625" style="126" customWidth="1"/>
    <col min="13575" max="13575" width="0" style="126" hidden="1" customWidth="1"/>
    <col min="13576" max="13576" width="14.28515625" style="126" customWidth="1"/>
    <col min="13577" max="13577" width="0" style="126" hidden="1" customWidth="1"/>
    <col min="13578" max="13578" width="14.28515625" style="126" customWidth="1"/>
    <col min="13579" max="13579" width="0" style="126" hidden="1" customWidth="1"/>
    <col min="13580" max="13580" width="14.28515625" style="126" customWidth="1"/>
    <col min="13581" max="13581" width="0" style="126" hidden="1" customWidth="1"/>
    <col min="13582" max="13582" width="14.28515625" style="126" customWidth="1"/>
    <col min="13583" max="13824" width="11.42578125" style="126"/>
    <col min="13825" max="13825" width="39.5703125" style="126" bestFit="1" customWidth="1"/>
    <col min="13826" max="13827" width="0" style="126" hidden="1" customWidth="1"/>
    <col min="13828" max="13828" width="14.28515625" style="126" customWidth="1"/>
    <col min="13829" max="13829" width="0" style="126" hidden="1" customWidth="1"/>
    <col min="13830" max="13830" width="14.28515625" style="126" customWidth="1"/>
    <col min="13831" max="13831" width="0" style="126" hidden="1" customWidth="1"/>
    <col min="13832" max="13832" width="14.28515625" style="126" customWidth="1"/>
    <col min="13833" max="13833" width="0" style="126" hidden="1" customWidth="1"/>
    <col min="13834" max="13834" width="14.28515625" style="126" customWidth="1"/>
    <col min="13835" max="13835" width="0" style="126" hidden="1" customWidth="1"/>
    <col min="13836" max="13836" width="14.28515625" style="126" customWidth="1"/>
    <col min="13837" max="13837" width="0" style="126" hidden="1" customWidth="1"/>
    <col min="13838" max="13838" width="14.28515625" style="126" customWidth="1"/>
    <col min="13839" max="14080" width="11.42578125" style="126"/>
    <col min="14081" max="14081" width="39.5703125" style="126" bestFit="1" customWidth="1"/>
    <col min="14082" max="14083" width="0" style="126" hidden="1" customWidth="1"/>
    <col min="14084" max="14084" width="14.28515625" style="126" customWidth="1"/>
    <col min="14085" max="14085" width="0" style="126" hidden="1" customWidth="1"/>
    <col min="14086" max="14086" width="14.28515625" style="126" customWidth="1"/>
    <col min="14087" max="14087" width="0" style="126" hidden="1" customWidth="1"/>
    <col min="14088" max="14088" width="14.28515625" style="126" customWidth="1"/>
    <col min="14089" max="14089" width="0" style="126" hidden="1" customWidth="1"/>
    <col min="14090" max="14090" width="14.28515625" style="126" customWidth="1"/>
    <col min="14091" max="14091" width="0" style="126" hidden="1" customWidth="1"/>
    <col min="14092" max="14092" width="14.28515625" style="126" customWidth="1"/>
    <col min="14093" max="14093" width="0" style="126" hidden="1" customWidth="1"/>
    <col min="14094" max="14094" width="14.28515625" style="126" customWidth="1"/>
    <col min="14095" max="14336" width="11.42578125" style="126"/>
    <col min="14337" max="14337" width="39.5703125" style="126" bestFit="1" customWidth="1"/>
    <col min="14338" max="14339" width="0" style="126" hidden="1" customWidth="1"/>
    <col min="14340" max="14340" width="14.28515625" style="126" customWidth="1"/>
    <col min="14341" max="14341" width="0" style="126" hidden="1" customWidth="1"/>
    <col min="14342" max="14342" width="14.28515625" style="126" customWidth="1"/>
    <col min="14343" max="14343" width="0" style="126" hidden="1" customWidth="1"/>
    <col min="14344" max="14344" width="14.28515625" style="126" customWidth="1"/>
    <col min="14345" max="14345" width="0" style="126" hidden="1" customWidth="1"/>
    <col min="14346" max="14346" width="14.28515625" style="126" customWidth="1"/>
    <col min="14347" max="14347" width="0" style="126" hidden="1" customWidth="1"/>
    <col min="14348" max="14348" width="14.28515625" style="126" customWidth="1"/>
    <col min="14349" max="14349" width="0" style="126" hidden="1" customWidth="1"/>
    <col min="14350" max="14350" width="14.28515625" style="126" customWidth="1"/>
    <col min="14351" max="14592" width="11.42578125" style="126"/>
    <col min="14593" max="14593" width="39.5703125" style="126" bestFit="1" customWidth="1"/>
    <col min="14594" max="14595" width="0" style="126" hidden="1" customWidth="1"/>
    <col min="14596" max="14596" width="14.28515625" style="126" customWidth="1"/>
    <col min="14597" max="14597" width="0" style="126" hidden="1" customWidth="1"/>
    <col min="14598" max="14598" width="14.28515625" style="126" customWidth="1"/>
    <col min="14599" max="14599" width="0" style="126" hidden="1" customWidth="1"/>
    <col min="14600" max="14600" width="14.28515625" style="126" customWidth="1"/>
    <col min="14601" max="14601" width="0" style="126" hidden="1" customWidth="1"/>
    <col min="14602" max="14602" width="14.28515625" style="126" customWidth="1"/>
    <col min="14603" max="14603" width="0" style="126" hidden="1" customWidth="1"/>
    <col min="14604" max="14604" width="14.28515625" style="126" customWidth="1"/>
    <col min="14605" max="14605" width="0" style="126" hidden="1" customWidth="1"/>
    <col min="14606" max="14606" width="14.28515625" style="126" customWidth="1"/>
    <col min="14607" max="14848" width="11.42578125" style="126"/>
    <col min="14849" max="14849" width="39.5703125" style="126" bestFit="1" customWidth="1"/>
    <col min="14850" max="14851" width="0" style="126" hidden="1" customWidth="1"/>
    <col min="14852" max="14852" width="14.28515625" style="126" customWidth="1"/>
    <col min="14853" max="14853" width="0" style="126" hidden="1" customWidth="1"/>
    <col min="14854" max="14854" width="14.28515625" style="126" customWidth="1"/>
    <col min="14855" max="14855" width="0" style="126" hidden="1" customWidth="1"/>
    <col min="14856" max="14856" width="14.28515625" style="126" customWidth="1"/>
    <col min="14857" max="14857" width="0" style="126" hidden="1" customWidth="1"/>
    <col min="14858" max="14858" width="14.28515625" style="126" customWidth="1"/>
    <col min="14859" max="14859" width="0" style="126" hidden="1" customWidth="1"/>
    <col min="14860" max="14860" width="14.28515625" style="126" customWidth="1"/>
    <col min="14861" max="14861" width="0" style="126" hidden="1" customWidth="1"/>
    <col min="14862" max="14862" width="14.28515625" style="126" customWidth="1"/>
    <col min="14863" max="15104" width="11.42578125" style="126"/>
    <col min="15105" max="15105" width="39.5703125" style="126" bestFit="1" customWidth="1"/>
    <col min="15106" max="15107" width="0" style="126" hidden="1" customWidth="1"/>
    <col min="15108" max="15108" width="14.28515625" style="126" customWidth="1"/>
    <col min="15109" max="15109" width="0" style="126" hidden="1" customWidth="1"/>
    <col min="15110" max="15110" width="14.28515625" style="126" customWidth="1"/>
    <col min="15111" max="15111" width="0" style="126" hidden="1" customWidth="1"/>
    <col min="15112" max="15112" width="14.28515625" style="126" customWidth="1"/>
    <col min="15113" max="15113" width="0" style="126" hidden="1" customWidth="1"/>
    <col min="15114" max="15114" width="14.28515625" style="126" customWidth="1"/>
    <col min="15115" max="15115" width="0" style="126" hidden="1" customWidth="1"/>
    <col min="15116" max="15116" width="14.28515625" style="126" customWidth="1"/>
    <col min="15117" max="15117" width="0" style="126" hidden="1" customWidth="1"/>
    <col min="15118" max="15118" width="14.28515625" style="126" customWidth="1"/>
    <col min="15119" max="15360" width="11.42578125" style="126"/>
    <col min="15361" max="15361" width="39.5703125" style="126" bestFit="1" customWidth="1"/>
    <col min="15362" max="15363" width="0" style="126" hidden="1" customWidth="1"/>
    <col min="15364" max="15364" width="14.28515625" style="126" customWidth="1"/>
    <col min="15365" max="15365" width="0" style="126" hidden="1" customWidth="1"/>
    <col min="15366" max="15366" width="14.28515625" style="126" customWidth="1"/>
    <col min="15367" max="15367" width="0" style="126" hidden="1" customWidth="1"/>
    <col min="15368" max="15368" width="14.28515625" style="126" customWidth="1"/>
    <col min="15369" max="15369" width="0" style="126" hidden="1" customWidth="1"/>
    <col min="15370" max="15370" width="14.28515625" style="126" customWidth="1"/>
    <col min="15371" max="15371" width="0" style="126" hidden="1" customWidth="1"/>
    <col min="15372" max="15372" width="14.28515625" style="126" customWidth="1"/>
    <col min="15373" max="15373" width="0" style="126" hidden="1" customWidth="1"/>
    <col min="15374" max="15374" width="14.28515625" style="126" customWidth="1"/>
    <col min="15375" max="15616" width="11.42578125" style="126"/>
    <col min="15617" max="15617" width="39.5703125" style="126" bestFit="1" customWidth="1"/>
    <col min="15618" max="15619" width="0" style="126" hidden="1" customWidth="1"/>
    <col min="15620" max="15620" width="14.28515625" style="126" customWidth="1"/>
    <col min="15621" max="15621" width="0" style="126" hidden="1" customWidth="1"/>
    <col min="15622" max="15622" width="14.28515625" style="126" customWidth="1"/>
    <col min="15623" max="15623" width="0" style="126" hidden="1" customWidth="1"/>
    <col min="15624" max="15624" width="14.28515625" style="126" customWidth="1"/>
    <col min="15625" max="15625" width="0" style="126" hidden="1" customWidth="1"/>
    <col min="15626" max="15626" width="14.28515625" style="126" customWidth="1"/>
    <col min="15627" max="15627" width="0" style="126" hidden="1" customWidth="1"/>
    <col min="15628" max="15628" width="14.28515625" style="126" customWidth="1"/>
    <col min="15629" max="15629" width="0" style="126" hidden="1" customWidth="1"/>
    <col min="15630" max="15630" width="14.28515625" style="126" customWidth="1"/>
    <col min="15631" max="15872" width="11.42578125" style="126"/>
    <col min="15873" max="15873" width="39.5703125" style="126" bestFit="1" customWidth="1"/>
    <col min="15874" max="15875" width="0" style="126" hidden="1" customWidth="1"/>
    <col min="15876" max="15876" width="14.28515625" style="126" customWidth="1"/>
    <col min="15877" max="15877" width="0" style="126" hidden="1" customWidth="1"/>
    <col min="15878" max="15878" width="14.28515625" style="126" customWidth="1"/>
    <col min="15879" max="15879" width="0" style="126" hidden="1" customWidth="1"/>
    <col min="15880" max="15880" width="14.28515625" style="126" customWidth="1"/>
    <col min="15881" max="15881" width="0" style="126" hidden="1" customWidth="1"/>
    <col min="15882" max="15882" width="14.28515625" style="126" customWidth="1"/>
    <col min="15883" max="15883" width="0" style="126" hidden="1" customWidth="1"/>
    <col min="15884" max="15884" width="14.28515625" style="126" customWidth="1"/>
    <col min="15885" max="15885" width="0" style="126" hidden="1" customWidth="1"/>
    <col min="15886" max="15886" width="14.28515625" style="126" customWidth="1"/>
    <col min="15887" max="16128" width="11.42578125" style="126"/>
    <col min="16129" max="16129" width="39.5703125" style="126" bestFit="1" customWidth="1"/>
    <col min="16130" max="16131" width="0" style="126" hidden="1" customWidth="1"/>
    <col min="16132" max="16132" width="14.28515625" style="126" customWidth="1"/>
    <col min="16133" max="16133" width="0" style="126" hidden="1" customWidth="1"/>
    <col min="16134" max="16134" width="14.28515625" style="126" customWidth="1"/>
    <col min="16135" max="16135" width="0" style="126" hidden="1" customWidth="1"/>
    <col min="16136" max="16136" width="14.28515625" style="126" customWidth="1"/>
    <col min="16137" max="16137" width="0" style="126" hidden="1" customWidth="1"/>
    <col min="16138" max="16138" width="14.28515625" style="126" customWidth="1"/>
    <col min="16139" max="16139" width="0" style="126" hidden="1" customWidth="1"/>
    <col min="16140" max="16140" width="14.28515625" style="126" customWidth="1"/>
    <col min="16141" max="16141" width="0" style="126" hidden="1" customWidth="1"/>
    <col min="16142" max="16142" width="14.28515625" style="126" customWidth="1"/>
    <col min="16143" max="16384" width="11.42578125" style="126"/>
  </cols>
  <sheetData>
    <row r="1" spans="1:20" x14ac:dyDescent="0.25">
      <c r="D1" s="409" t="s">
        <v>891</v>
      </c>
      <c r="E1" s="409"/>
      <c r="F1" s="409"/>
      <c r="G1" s="409"/>
      <c r="H1" s="409"/>
      <c r="I1" s="409"/>
      <c r="J1" s="409"/>
      <c r="K1" s="409"/>
      <c r="L1" s="409"/>
      <c r="M1" s="409"/>
      <c r="N1" s="409"/>
    </row>
    <row r="2" spans="1:20" x14ac:dyDescent="0.25">
      <c r="D2" s="409" t="s">
        <v>892</v>
      </c>
      <c r="E2" s="409"/>
      <c r="F2" s="409"/>
      <c r="G2" s="409"/>
      <c r="H2" s="409"/>
      <c r="I2" s="409"/>
      <c r="J2" s="409"/>
      <c r="K2" s="409"/>
      <c r="L2" s="409"/>
      <c r="M2" s="409"/>
      <c r="N2" s="409"/>
    </row>
    <row r="5" spans="1:20" x14ac:dyDescent="0.25">
      <c r="R5" s="76" t="s">
        <v>963</v>
      </c>
      <c r="S5" s="76" t="s">
        <v>876</v>
      </c>
      <c r="T5" s="76" t="s">
        <v>964</v>
      </c>
    </row>
    <row r="6" spans="1:20" x14ac:dyDescent="0.25">
      <c r="C6" s="434" t="s">
        <v>893</v>
      </c>
      <c r="D6" s="434"/>
      <c r="E6" s="434" t="s">
        <v>894</v>
      </c>
      <c r="F6" s="434"/>
      <c r="G6" s="434" t="s">
        <v>895</v>
      </c>
      <c r="H6" s="434"/>
      <c r="I6" s="434" t="s">
        <v>896</v>
      </c>
      <c r="J6" s="434"/>
      <c r="K6" s="434" t="s">
        <v>897</v>
      </c>
      <c r="L6" s="434"/>
      <c r="M6" s="434" t="s">
        <v>898</v>
      </c>
      <c r="N6" s="434"/>
      <c r="Q6" s="126" t="s">
        <v>965</v>
      </c>
      <c r="R6" s="219">
        <f>'CONFIANZA M.'!D62</f>
        <v>0</v>
      </c>
      <c r="S6" s="219" t="e">
        <f>EMPRESARIAL!Q36</f>
        <v>#N/A</v>
      </c>
      <c r="T6" s="219">
        <f>O38</f>
        <v>160.90128000000001</v>
      </c>
    </row>
    <row r="7" spans="1:20" x14ac:dyDescent="0.25">
      <c r="A7" s="3"/>
      <c r="B7" s="3"/>
      <c r="C7" s="188" t="s">
        <v>3</v>
      </c>
      <c r="D7" s="189" t="s">
        <v>899</v>
      </c>
      <c r="E7" s="189" t="s">
        <v>5</v>
      </c>
      <c r="F7" s="189" t="s">
        <v>900</v>
      </c>
      <c r="G7" s="189" t="s">
        <v>7</v>
      </c>
      <c r="H7" s="189" t="s">
        <v>901</v>
      </c>
      <c r="I7" s="189" t="s">
        <v>9</v>
      </c>
      <c r="J7" s="189" t="s">
        <v>902</v>
      </c>
      <c r="K7" s="189" t="s">
        <v>11</v>
      </c>
      <c r="L7" s="189" t="s">
        <v>903</v>
      </c>
      <c r="M7" s="189" t="s">
        <v>13</v>
      </c>
      <c r="N7" s="189" t="s">
        <v>904</v>
      </c>
    </row>
    <row r="8" spans="1:20" x14ac:dyDescent="0.25">
      <c r="A8" s="126" t="s">
        <v>16</v>
      </c>
      <c r="C8" s="190">
        <f>'[4]4. Cedula IETU'!B6</f>
        <v>5920</v>
      </c>
      <c r="D8" s="190">
        <f>EMPRESARIAL!C7+EMPRESARIAL!D7</f>
        <v>10000</v>
      </c>
      <c r="E8" s="190"/>
      <c r="F8" s="190">
        <f>EMPRESARIAL!E7+EMPRESARIAL!F7</f>
        <v>0</v>
      </c>
      <c r="G8" s="190"/>
      <c r="H8" s="190">
        <f>EMPRESARIAL!G7+EMPRESARIAL!H7</f>
        <v>0</v>
      </c>
      <c r="I8" s="190"/>
      <c r="J8" s="190">
        <f>EMPRESARIAL!I7+EMPRESARIAL!J7</f>
        <v>0</v>
      </c>
      <c r="K8" s="190"/>
      <c r="L8" s="190">
        <f>EMPRESARIAL!K7+EMPRESARIAL!L7</f>
        <v>0</v>
      </c>
      <c r="M8" s="190"/>
      <c r="N8" s="190">
        <f>EMPRESARIAL!M7+EMPRESARIAL!N7</f>
        <v>0</v>
      </c>
    </row>
    <row r="9" spans="1:20" x14ac:dyDescent="0.25">
      <c r="A9" s="3" t="s">
        <v>17</v>
      </c>
      <c r="B9" s="3"/>
      <c r="C9" s="191">
        <f t="shared" ref="C9" si="0">C8</f>
        <v>5920</v>
      </c>
      <c r="D9" s="191">
        <f>D8</f>
        <v>10000</v>
      </c>
      <c r="E9" s="191"/>
      <c r="F9" s="191">
        <f>F8</f>
        <v>0</v>
      </c>
      <c r="G9" s="191"/>
      <c r="H9" s="191">
        <f>H8</f>
        <v>0</v>
      </c>
      <c r="I9" s="191"/>
      <c r="J9" s="191">
        <f>J8</f>
        <v>0</v>
      </c>
      <c r="K9" s="191"/>
      <c r="L9" s="191">
        <f>L8</f>
        <v>0</v>
      </c>
      <c r="M9" s="191"/>
      <c r="N9" s="191">
        <f>N8</f>
        <v>0</v>
      </c>
      <c r="O9" s="9">
        <f>D9+F9+H9+J9+L9+N9</f>
        <v>10000</v>
      </c>
    </row>
    <row r="10" spans="1:20" x14ac:dyDescent="0.25">
      <c r="C10" s="190"/>
      <c r="D10" s="190"/>
      <c r="E10" s="190"/>
      <c r="F10" s="190"/>
      <c r="G10" s="190"/>
      <c r="H10" s="190"/>
      <c r="I10" s="190"/>
      <c r="J10" s="190"/>
      <c r="K10" s="190"/>
      <c r="L10" s="190"/>
      <c r="M10" s="190"/>
      <c r="N10" s="190"/>
    </row>
    <row r="11" spans="1:20" x14ac:dyDescent="0.25">
      <c r="A11" s="126" t="s">
        <v>19</v>
      </c>
      <c r="C11" s="190">
        <v>0</v>
      </c>
      <c r="D11" s="190">
        <v>0</v>
      </c>
      <c r="E11" s="190"/>
      <c r="F11" s="190">
        <v>0</v>
      </c>
      <c r="G11" s="190"/>
      <c r="H11" s="190">
        <v>0</v>
      </c>
      <c r="I11" s="190"/>
      <c r="J11" s="190">
        <v>0</v>
      </c>
      <c r="K11" s="190"/>
      <c r="L11" s="190">
        <v>0</v>
      </c>
      <c r="M11" s="190"/>
      <c r="N11" s="190">
        <v>0</v>
      </c>
    </row>
    <row r="12" spans="1:20" x14ac:dyDescent="0.25">
      <c r="A12" s="126" t="s">
        <v>20</v>
      </c>
      <c r="C12" s="190">
        <v>0</v>
      </c>
      <c r="D12" s="190">
        <v>0</v>
      </c>
      <c r="E12" s="190"/>
      <c r="F12" s="190">
        <v>0</v>
      </c>
      <c r="G12" s="190"/>
      <c r="H12" s="190">
        <v>0</v>
      </c>
      <c r="I12" s="190"/>
      <c r="J12" s="190">
        <v>0</v>
      </c>
      <c r="K12" s="190"/>
      <c r="L12" s="190">
        <v>0</v>
      </c>
      <c r="M12" s="190"/>
      <c r="N12" s="190">
        <v>0</v>
      </c>
    </row>
    <row r="13" spans="1:20" x14ac:dyDescent="0.25">
      <c r="A13" s="126" t="s">
        <v>21</v>
      </c>
      <c r="C13" s="190">
        <f>'[4]4. Cedula IETU'!B10</f>
        <v>0</v>
      </c>
      <c r="D13" s="190">
        <f>EMPRESARIAL!C13+EMPRESARIAL!D13</f>
        <v>5000</v>
      </c>
      <c r="E13" s="190"/>
      <c r="F13" s="190">
        <f>EMPRESARIAL!E13+EMPRESARIAL!F13</f>
        <v>0</v>
      </c>
      <c r="G13" s="190"/>
      <c r="H13" s="190">
        <f>EMPRESARIAL!G13+EMPRESARIAL!H13</f>
        <v>0</v>
      </c>
      <c r="I13" s="190"/>
      <c r="J13" s="190">
        <f>EMPRESARIAL!I13+EMPRESARIAL!J13</f>
        <v>0</v>
      </c>
      <c r="K13" s="190"/>
      <c r="L13" s="190">
        <f>EMPRESARIAL!K13+EMPRESARIAL!L13</f>
        <v>0</v>
      </c>
      <c r="M13" s="190"/>
      <c r="N13" s="190">
        <f>EMPRESARIAL!M13+EMPRESARIAL!N13</f>
        <v>0</v>
      </c>
    </row>
    <row r="14" spans="1:20" x14ac:dyDescent="0.25">
      <c r="A14" s="3" t="s">
        <v>22</v>
      </c>
      <c r="B14" s="191">
        <f t="shared" ref="B14:C14" si="1">SUM(B11:B13)</f>
        <v>0</v>
      </c>
      <c r="C14" s="191">
        <f t="shared" si="1"/>
        <v>0</v>
      </c>
      <c r="D14" s="191">
        <f>SUM(D11:D13)</f>
        <v>5000</v>
      </c>
      <c r="E14" s="191"/>
      <c r="F14" s="191">
        <f>SUM(F11:F13)</f>
        <v>0</v>
      </c>
      <c r="G14" s="191"/>
      <c r="H14" s="191">
        <f>SUM(H11:H13)</f>
        <v>0</v>
      </c>
      <c r="I14" s="191"/>
      <c r="J14" s="191">
        <f>SUM(J11:J13)</f>
        <v>0</v>
      </c>
      <c r="K14" s="191"/>
      <c r="L14" s="191">
        <f>SUM(L11:L13)</f>
        <v>0</v>
      </c>
      <c r="M14" s="191"/>
      <c r="N14" s="191">
        <f>SUM(N11:N13)</f>
        <v>0</v>
      </c>
      <c r="P14" s="9"/>
    </row>
    <row r="15" spans="1:20" x14ac:dyDescent="0.25">
      <c r="A15" s="3"/>
      <c r="B15" s="191"/>
      <c r="C15" s="191">
        <f>C9-C14</f>
        <v>5920</v>
      </c>
      <c r="D15" s="192"/>
      <c r="E15" s="192"/>
      <c r="F15" s="192"/>
      <c r="G15" s="192"/>
      <c r="H15" s="192"/>
      <c r="I15" s="192"/>
      <c r="J15" s="192"/>
      <c r="K15" s="192"/>
      <c r="L15" s="192"/>
      <c r="M15" s="192"/>
      <c r="N15" s="192"/>
      <c r="P15" s="9"/>
    </row>
    <row r="16" spans="1:20" ht="15.75" thickBot="1" x14ac:dyDescent="0.3">
      <c r="A16" s="3" t="s">
        <v>905</v>
      </c>
      <c r="B16" s="191"/>
      <c r="C16" s="191"/>
      <c r="D16" s="193">
        <f>IF((D9-D14)&gt;0,D9-D14,0)</f>
        <v>5000</v>
      </c>
      <c r="E16" s="193"/>
      <c r="F16" s="193">
        <f>IF((F9-F14)&lt;0,0,F9-F14)</f>
        <v>0</v>
      </c>
      <c r="G16" s="193"/>
      <c r="H16" s="193">
        <f>IF((H9-H14)&lt;0,0,H9-H14)</f>
        <v>0</v>
      </c>
      <c r="I16" s="193"/>
      <c r="J16" s="193">
        <f>IF((J9-J14)&lt;0,0,J9-J14)</f>
        <v>0</v>
      </c>
      <c r="K16" s="193"/>
      <c r="L16" s="193">
        <f>IF((L9-L14)&lt;0,0,L9-L14)</f>
        <v>0</v>
      </c>
      <c r="M16" s="193"/>
      <c r="N16" s="193">
        <f>IF((N9-N14)&lt;0,0,N9-N14)</f>
        <v>0</v>
      </c>
    </row>
    <row r="17" spans="1:14" x14ac:dyDescent="0.25">
      <c r="C17" s="190"/>
      <c r="D17" s="190"/>
      <c r="E17" s="190"/>
      <c r="F17" s="190"/>
      <c r="G17" s="190"/>
      <c r="H17" s="190"/>
      <c r="I17" s="190"/>
      <c r="J17" s="190"/>
      <c r="K17" s="190"/>
      <c r="L17" s="190"/>
      <c r="M17" s="190"/>
      <c r="N17" s="190"/>
    </row>
    <row r="18" spans="1:14" x14ac:dyDescent="0.25">
      <c r="A18" s="52" t="s">
        <v>906</v>
      </c>
      <c r="C18" s="190"/>
      <c r="D18" s="190">
        <v>0</v>
      </c>
      <c r="E18" s="190"/>
      <c r="F18" s="190">
        <f>IF(IF(D16&gt;0,(D18+D16),(D9-D14+D18))&gt;0,0,IF(D16&gt;0,(D18+D16),(D9-D14+D18)))</f>
        <v>0</v>
      </c>
      <c r="G18" s="190"/>
      <c r="H18" s="190">
        <f>IF(IF(F16&gt;0,(F18+F16),(F9-F14+F18))&gt;0,0,IF(F16&gt;0,(F18+F16),(F9-F14+F18)))</f>
        <v>0</v>
      </c>
      <c r="I18" s="190"/>
      <c r="J18" s="190">
        <f>IF(IF(H16&gt;0,(H18+H16),(H9-H14+H18))&gt;0,0,IF(H16&gt;0,(H18+H16),(H9-H14+H18)))</f>
        <v>0</v>
      </c>
      <c r="K18" s="190"/>
      <c r="L18" s="190">
        <f>IF(IF(J16&gt;0,(J18+J16),(J9-J14+J18))&gt;0,0,IF(J16&gt;0,(J18+J16),(J9-J14+J18)))</f>
        <v>0</v>
      </c>
      <c r="M18" s="190"/>
      <c r="N18" s="190">
        <f>IF(IF(L16&gt;0,(L18+L16),(L9-L14+L18))&gt;0,0,IF(L16&gt;0,(L18+L16),(L9-L14+L18)))</f>
        <v>0</v>
      </c>
    </row>
    <row r="19" spans="1:14" x14ac:dyDescent="0.25">
      <c r="C19" s="190"/>
      <c r="D19" s="190"/>
      <c r="E19" s="190"/>
      <c r="F19" s="190"/>
      <c r="G19" s="190"/>
      <c r="H19" s="190"/>
      <c r="I19" s="190"/>
      <c r="J19" s="190"/>
      <c r="K19" s="190"/>
      <c r="L19" s="190"/>
      <c r="M19" s="190"/>
      <c r="N19" s="190"/>
    </row>
    <row r="20" spans="1:14" x14ac:dyDescent="0.25">
      <c r="A20" s="3" t="s">
        <v>24</v>
      </c>
      <c r="B20" s="194">
        <f t="shared" ref="B20:C20" si="2">IF((B9-B14+B18)&gt;0,(B9-B14+B18),0)</f>
        <v>0</v>
      </c>
      <c r="C20" s="194">
        <f t="shared" si="2"/>
        <v>5920</v>
      </c>
      <c r="D20" s="194">
        <f>IF((D9-D14+D18)&gt;0,(D9-D14+D18),0)</f>
        <v>5000</v>
      </c>
      <c r="E20" s="194"/>
      <c r="F20" s="194">
        <f>IF((F9-F14+F18)&gt;0,(F9-F14+F18),0)</f>
        <v>0</v>
      </c>
      <c r="G20" s="194"/>
      <c r="H20" s="194">
        <f>IF((H9-H14+H18)&gt;0,(H9-H14+H18),0)</f>
        <v>0</v>
      </c>
      <c r="I20" s="194"/>
      <c r="J20" s="194">
        <f>IF((J9-J14+J18)&gt;0,(J9-J14+J18),0)</f>
        <v>0</v>
      </c>
      <c r="K20" s="194"/>
      <c r="L20" s="194">
        <f>IF((L9-L14+L18)&gt;0,(L9-L14+L18),0)</f>
        <v>0</v>
      </c>
      <c r="M20" s="194"/>
      <c r="N20" s="194">
        <f>IF((N9-N14+N18)&gt;0,(N9-N14+N18),0)</f>
        <v>0</v>
      </c>
    </row>
    <row r="21" spans="1:14" x14ac:dyDescent="0.25">
      <c r="C21" s="190"/>
      <c r="D21" s="190"/>
      <c r="E21" s="190"/>
      <c r="F21" s="190"/>
      <c r="G21" s="190"/>
      <c r="H21" s="190"/>
      <c r="I21" s="190"/>
      <c r="J21" s="190"/>
      <c r="K21" s="190"/>
      <c r="L21" s="190"/>
      <c r="M21" s="190"/>
      <c r="N21" s="190"/>
    </row>
    <row r="22" spans="1:14" x14ac:dyDescent="0.25">
      <c r="A22" s="52" t="s">
        <v>25</v>
      </c>
      <c r="C22" s="195">
        <f>IF(C20&gt;0,VLOOKUP(C20,'[4]Tablas de ISR'!A5:B15,1,1),0)</f>
        <v>4910.1899999999996</v>
      </c>
      <c r="D22" s="195">
        <f>IF(D20&gt;0,VLOOKUP(D20,'[5]Tablas de ISR RIF'!F5:G15,1,1),0)</f>
        <v>1157.05</v>
      </c>
      <c r="E22" s="195"/>
      <c r="F22" s="195">
        <f>IF(F20&gt;0,VLOOKUP(F20,'[5]Tablas de ISR RIF'!F21:G32,1,1),0)</f>
        <v>0</v>
      </c>
      <c r="G22" s="195"/>
      <c r="H22" s="195">
        <f>IF(H20&gt;0,VLOOKUP(H20,'[5]Tablas de ISR RIF'!F37:G48,1,1),0)</f>
        <v>0</v>
      </c>
      <c r="I22" s="195"/>
      <c r="J22" s="195">
        <f>IF(J20&gt;0,VLOOKUP(J20,'[5]Tablas de ISR RIF'!F53:G63,1,1),0)</f>
        <v>0</v>
      </c>
      <c r="K22" s="195"/>
      <c r="L22" s="195">
        <f>IF(L20&gt;0,VLOOKUP(L20,'[5]Tablas de ISR RIF'!F69:G80,1,1),0)</f>
        <v>0</v>
      </c>
      <c r="M22" s="195"/>
      <c r="N22" s="195">
        <f>IF(N20&gt;0,VLOOKUP(N20,'[5]Tablas de ISR RIF'!F85:G95,1,1),0)</f>
        <v>0</v>
      </c>
    </row>
    <row r="23" spans="1:14" x14ac:dyDescent="0.25">
      <c r="C23" s="190"/>
      <c r="D23" s="190"/>
      <c r="E23" s="190"/>
      <c r="F23" s="190"/>
      <c r="G23" s="190"/>
      <c r="H23" s="190"/>
      <c r="I23" s="190"/>
      <c r="J23" s="190"/>
      <c r="K23" s="190"/>
      <c r="L23" s="190"/>
      <c r="M23" s="190"/>
      <c r="N23" s="190"/>
    </row>
    <row r="24" spans="1:14" ht="15.75" thickBot="1" x14ac:dyDescent="0.3">
      <c r="A24" s="52" t="s">
        <v>26</v>
      </c>
      <c r="C24" s="196">
        <f t="shared" ref="C24" si="3">C20-C22</f>
        <v>1009.8100000000004</v>
      </c>
      <c r="D24" s="196">
        <f>D20-D22</f>
        <v>3842.95</v>
      </c>
      <c r="E24" s="196"/>
      <c r="F24" s="196">
        <f>F20-F22</f>
        <v>0</v>
      </c>
      <c r="G24" s="196"/>
      <c r="H24" s="196">
        <f>H20-H22</f>
        <v>0</v>
      </c>
      <c r="I24" s="196"/>
      <c r="J24" s="196">
        <f>J20-J22</f>
        <v>0</v>
      </c>
      <c r="K24" s="196"/>
      <c r="L24" s="196">
        <f>L20-L22</f>
        <v>0</v>
      </c>
      <c r="M24" s="196"/>
      <c r="N24" s="196">
        <f>N20-N22</f>
        <v>0</v>
      </c>
    </row>
    <row r="25" spans="1:14" ht="15.75" thickTop="1" x14ac:dyDescent="0.25">
      <c r="C25" s="190"/>
      <c r="D25" s="190"/>
      <c r="E25" s="190"/>
      <c r="F25" s="190"/>
      <c r="G25" s="190"/>
      <c r="H25" s="190"/>
      <c r="I25" s="190"/>
      <c r="J25" s="190"/>
      <c r="K25" s="190"/>
      <c r="L25" s="190"/>
      <c r="M25" s="190"/>
      <c r="N25" s="190"/>
    </row>
    <row r="26" spans="1:14" x14ac:dyDescent="0.25">
      <c r="A26" s="52" t="s">
        <v>27</v>
      </c>
      <c r="C26" s="197">
        <f>IF(C20&gt;0,VLOOKUP(C30,'[4]Tablas de ISR'!C5:D15,2,0),0)</f>
        <v>0.10879999999999999</v>
      </c>
      <c r="D26" s="197">
        <f>IF(D20&gt;0,VLOOKUP(D30,'[5]Tablas de ISR RIF'!H5:I15,2,0),0)</f>
        <v>6.4000000000000001E-2</v>
      </c>
      <c r="E26" s="197"/>
      <c r="F26" s="197">
        <f>IF(F20&gt;0,VLOOKUP(F30,'[5]Tablas de ISR RIF'!H21:I32,2,0),0)</f>
        <v>0</v>
      </c>
      <c r="G26" s="197"/>
      <c r="H26" s="197">
        <f>IF(H20&gt;0,VLOOKUP(H30,'[5]Tablas de ISR RIF'!H37:I48,2,0),0)</f>
        <v>0</v>
      </c>
      <c r="I26" s="197"/>
      <c r="J26" s="197">
        <f>IF(J20&gt;0,VLOOKUP(J30,'[5]Tablas de ISR RIF'!H53:I63,2,0),0)</f>
        <v>0</v>
      </c>
      <c r="K26" s="197"/>
      <c r="L26" s="197">
        <f>IF(L20&gt;0,VLOOKUP(L30,'[5]Tablas de ISR RIF'!H69:I80,2,0),0)</f>
        <v>0</v>
      </c>
      <c r="M26" s="197"/>
      <c r="N26" s="197">
        <f>IF(N20&gt;0,VLOOKUP(N30,'[5]Tablas de ISR RIF'!H85:I95,2,0),0)</f>
        <v>0</v>
      </c>
    </row>
    <row r="27" spans="1:14" x14ac:dyDescent="0.25">
      <c r="C27" s="190"/>
      <c r="D27" s="190"/>
      <c r="E27" s="190"/>
      <c r="F27" s="190"/>
      <c r="G27" s="190"/>
      <c r="H27" s="190"/>
      <c r="I27" s="190"/>
      <c r="J27" s="190"/>
      <c r="K27" s="190"/>
      <c r="L27" s="190"/>
      <c r="M27" s="190"/>
      <c r="N27" s="190"/>
    </row>
    <row r="28" spans="1:14" ht="15.75" thickBot="1" x14ac:dyDescent="0.3">
      <c r="A28" s="52" t="s">
        <v>28</v>
      </c>
      <c r="C28" s="196">
        <f t="shared" ref="C28" si="4">C24*C26</f>
        <v>109.86732800000004</v>
      </c>
      <c r="D28" s="196">
        <f>D24*D26</f>
        <v>245.94880000000001</v>
      </c>
      <c r="E28" s="196"/>
      <c r="F28" s="196">
        <f>F24*F26</f>
        <v>0</v>
      </c>
      <c r="G28" s="196"/>
      <c r="H28" s="196">
        <f>H24*H26</f>
        <v>0</v>
      </c>
      <c r="I28" s="196"/>
      <c r="J28" s="196">
        <f>J24*J26</f>
        <v>0</v>
      </c>
      <c r="K28" s="196"/>
      <c r="L28" s="196">
        <f>L24*L26</f>
        <v>0</v>
      </c>
      <c r="M28" s="196"/>
      <c r="N28" s="196">
        <f>N24*N26</f>
        <v>0</v>
      </c>
    </row>
    <row r="29" spans="1:14" ht="15.75" thickTop="1" x14ac:dyDescent="0.25">
      <c r="C29" s="190"/>
      <c r="D29" s="190"/>
      <c r="E29" s="190"/>
      <c r="F29" s="190"/>
      <c r="G29" s="190"/>
      <c r="H29" s="190"/>
      <c r="I29" s="190"/>
      <c r="J29" s="190"/>
      <c r="K29" s="190"/>
      <c r="L29" s="190"/>
      <c r="M29" s="190"/>
      <c r="N29" s="190"/>
    </row>
    <row r="30" spans="1:14" x14ac:dyDescent="0.25">
      <c r="A30" s="52" t="s">
        <v>29</v>
      </c>
      <c r="C30" s="195">
        <f>IF(C20&gt;0,VLOOKUP(C20,'[4]Tablas de ISR'!A5:C15,3,1),0)</f>
        <v>288.33</v>
      </c>
      <c r="D30" s="195">
        <f>IF(D20&gt;0,VLOOKUP(D20,'[5]Tablas de ISR RIF'!F5:H15,3,1),0)</f>
        <v>22.22</v>
      </c>
      <c r="E30" s="195"/>
      <c r="F30" s="195">
        <f>IF(F20&gt;0,VLOOKUP(F20,'[5]Tablas de ISR RIF'!F21:H32,3,1),0)</f>
        <v>0</v>
      </c>
      <c r="G30" s="195"/>
      <c r="H30" s="195">
        <f>IF(H20&gt;0,VLOOKUP(H20,'[5]Tablas de ISR RIF'!F37:H48,3,1),0)</f>
        <v>0</v>
      </c>
      <c r="I30" s="195"/>
      <c r="J30" s="195">
        <f>IF(J20&gt;0,VLOOKUP(J20,'[5]Tablas de ISR RIF'!F53:H63,3,1),0)</f>
        <v>0</v>
      </c>
      <c r="K30" s="195"/>
      <c r="L30" s="195">
        <f>IF(L20&gt;0,VLOOKUP(L20,'[5]Tablas de ISR RIF'!F69:H80,3,1),0)</f>
        <v>0</v>
      </c>
      <c r="M30" s="195"/>
      <c r="N30" s="195">
        <f>IF(N20&gt;0,VLOOKUP(N20,'[5]Tablas de ISR RIF'!F85:H95,3,1),0)</f>
        <v>0</v>
      </c>
    </row>
    <row r="31" spans="1:14" x14ac:dyDescent="0.25">
      <c r="C31" s="190"/>
      <c r="D31" s="190"/>
      <c r="E31" s="190"/>
      <c r="F31" s="190"/>
      <c r="G31" s="190"/>
      <c r="H31" s="190"/>
      <c r="I31" s="190"/>
      <c r="J31" s="190"/>
      <c r="K31" s="190"/>
      <c r="L31" s="190"/>
      <c r="M31" s="190"/>
      <c r="N31" s="190"/>
    </row>
    <row r="32" spans="1:14" ht="15.75" thickBot="1" x14ac:dyDescent="0.3">
      <c r="A32" s="52" t="s">
        <v>30</v>
      </c>
      <c r="C32" s="196">
        <f t="shared" ref="C32" si="5">C28+C30</f>
        <v>398.19732800000003</v>
      </c>
      <c r="D32" s="196">
        <f>D28+D30</f>
        <v>268.16880000000003</v>
      </c>
      <c r="E32" s="196"/>
      <c r="F32" s="196">
        <f>F28+F30</f>
        <v>0</v>
      </c>
      <c r="G32" s="196"/>
      <c r="H32" s="196">
        <f>H28+H30</f>
        <v>0</v>
      </c>
      <c r="I32" s="196"/>
      <c r="J32" s="196">
        <f>J28+J30</f>
        <v>0</v>
      </c>
      <c r="K32" s="196"/>
      <c r="L32" s="196">
        <f>L28+L30</f>
        <v>0</v>
      </c>
      <c r="M32" s="196"/>
      <c r="N32" s="196">
        <f>N28+N30</f>
        <v>0</v>
      </c>
    </row>
    <row r="33" spans="1:15" ht="15.75" thickTop="1" x14ac:dyDescent="0.25">
      <c r="A33" s="208" t="s">
        <v>915</v>
      </c>
      <c r="C33" s="190"/>
      <c r="D33" s="207">
        <v>7</v>
      </c>
      <c r="E33" s="190"/>
      <c r="F33" s="190"/>
      <c r="G33" s="190"/>
      <c r="H33" s="190"/>
      <c r="I33" s="190"/>
      <c r="J33" s="190"/>
      <c r="K33" s="190"/>
      <c r="L33" s="190"/>
      <c r="M33" s="190"/>
      <c r="N33" s="190"/>
    </row>
    <row r="34" spans="1:15" x14ac:dyDescent="0.25">
      <c r="A34" s="52" t="s">
        <v>907</v>
      </c>
      <c r="C34" s="190"/>
      <c r="D34" s="198">
        <f>VLOOKUP(D33,D52:F61,3,1)</f>
        <v>0.4</v>
      </c>
      <c r="E34" s="198"/>
      <c r="F34" s="198">
        <f>D34</f>
        <v>0.4</v>
      </c>
      <c r="G34" s="198"/>
      <c r="H34" s="198">
        <f>F34</f>
        <v>0.4</v>
      </c>
      <c r="I34" s="198"/>
      <c r="J34" s="198">
        <f>H34</f>
        <v>0.4</v>
      </c>
      <c r="K34" s="198"/>
      <c r="L34" s="198">
        <f>J34</f>
        <v>0.4</v>
      </c>
      <c r="M34" s="198"/>
      <c r="N34" s="198">
        <f>L34</f>
        <v>0.4</v>
      </c>
    </row>
    <row r="35" spans="1:15" x14ac:dyDescent="0.25">
      <c r="C35" s="190"/>
      <c r="D35" s="190"/>
      <c r="E35" s="190"/>
      <c r="F35" s="190"/>
      <c r="G35" s="190"/>
      <c r="H35" s="190"/>
      <c r="I35" s="190"/>
      <c r="J35" s="190"/>
      <c r="K35" s="190"/>
      <c r="L35" s="190"/>
      <c r="M35" s="190"/>
      <c r="N35" s="190"/>
    </row>
    <row r="36" spans="1:15" x14ac:dyDescent="0.25">
      <c r="A36" s="52" t="s">
        <v>908</v>
      </c>
      <c r="C36" s="190">
        <v>0</v>
      </c>
      <c r="D36" s="190">
        <f>D32*D34</f>
        <v>107.26752000000002</v>
      </c>
      <c r="E36" s="190"/>
      <c r="F36" s="190">
        <f>F32*F34</f>
        <v>0</v>
      </c>
      <c r="G36" s="190"/>
      <c r="H36" s="190">
        <f>H32*H34</f>
        <v>0</v>
      </c>
      <c r="I36" s="190"/>
      <c r="J36" s="190">
        <f>J32*J34</f>
        <v>0</v>
      </c>
      <c r="K36" s="190"/>
      <c r="L36" s="190">
        <f>L32*L34</f>
        <v>0</v>
      </c>
      <c r="M36" s="190"/>
      <c r="N36" s="190">
        <f>N32*N34</f>
        <v>0</v>
      </c>
    </row>
    <row r="37" spans="1:15" ht="15.75" thickBot="1" x14ac:dyDescent="0.3">
      <c r="B37" s="3"/>
      <c r="C37" s="190"/>
      <c r="D37" s="190"/>
      <c r="E37" s="190"/>
      <c r="F37" s="190"/>
      <c r="G37" s="190"/>
      <c r="H37" s="190"/>
      <c r="I37" s="190"/>
      <c r="J37" s="190"/>
      <c r="K37" s="190"/>
      <c r="L37" s="190"/>
      <c r="M37" s="190"/>
      <c r="N37" s="190"/>
      <c r="O37" s="126" t="s">
        <v>958</v>
      </c>
    </row>
    <row r="38" spans="1:15" ht="16.5" thickBot="1" x14ac:dyDescent="0.3">
      <c r="A38" s="3" t="s">
        <v>909</v>
      </c>
      <c r="B38" s="199">
        <v>1</v>
      </c>
      <c r="C38" s="200" t="e">
        <f>IF((C32-#REF!-#REF!-C36)&gt;0,C32-#REF!-#REF!-C36,0)</f>
        <v>#REF!</v>
      </c>
      <c r="D38" s="200">
        <f>IF((D32-D36)&gt;0,D32-D36,0)</f>
        <v>160.90128000000001</v>
      </c>
      <c r="E38" s="200"/>
      <c r="F38" s="200">
        <f>IF((F32-F36)&gt;0,F32-F36,0)</f>
        <v>0</v>
      </c>
      <c r="G38" s="200"/>
      <c r="H38" s="200">
        <f>IF((H32-H36)&gt;0,H32-H36,0)</f>
        <v>0</v>
      </c>
      <c r="I38" s="200"/>
      <c r="J38" s="200">
        <f>IF((J32-J36)&gt;0,J32-J36,0)</f>
        <v>0</v>
      </c>
      <c r="K38" s="200"/>
      <c r="L38" s="200">
        <f>IF((L32-L36)&gt;0,L32-L36,0)</f>
        <v>0</v>
      </c>
      <c r="M38" s="200"/>
      <c r="N38" s="200">
        <f>IF((N32-N36)&gt;0,N32-N36,0)</f>
        <v>0</v>
      </c>
      <c r="O38" s="250">
        <f>D38+F38+H38+J38+L38+N38</f>
        <v>160.90128000000001</v>
      </c>
    </row>
    <row r="39" spans="1:15" s="47" customFormat="1" ht="12.75" x14ac:dyDescent="0.2">
      <c r="B39" s="199">
        <v>2</v>
      </c>
      <c r="C39" s="201"/>
      <c r="D39" s="201"/>
      <c r="E39" s="201"/>
      <c r="F39" s="201"/>
      <c r="G39" s="201"/>
      <c r="H39" s="201"/>
      <c r="I39" s="201"/>
      <c r="J39" s="201"/>
      <c r="K39" s="201"/>
      <c r="L39" s="201"/>
      <c r="M39" s="201"/>
      <c r="N39" s="201"/>
    </row>
    <row r="40" spans="1:15" s="47" customFormat="1" ht="12.75" x14ac:dyDescent="0.2">
      <c r="B40" s="199">
        <v>3</v>
      </c>
      <c r="C40" s="202"/>
      <c r="D40" s="202"/>
      <c r="E40" s="202"/>
      <c r="F40" s="202"/>
      <c r="G40" s="202"/>
      <c r="H40" s="202"/>
      <c r="I40" s="202"/>
      <c r="J40" s="202"/>
      <c r="K40" s="202"/>
      <c r="L40" s="202"/>
      <c r="M40" s="202"/>
      <c r="N40" s="202"/>
    </row>
    <row r="41" spans="1:15" s="47" customFormat="1" ht="12.75" x14ac:dyDescent="0.2">
      <c r="B41" s="199">
        <v>4</v>
      </c>
      <c r="D41" s="47">
        <v>1</v>
      </c>
      <c r="F41" s="47">
        <v>2</v>
      </c>
      <c r="J41" s="402"/>
      <c r="K41" s="402"/>
      <c r="L41" s="402"/>
      <c r="N41" s="203"/>
    </row>
    <row r="42" spans="1:15" s="204" customFormat="1" ht="11.25" x14ac:dyDescent="0.2">
      <c r="C42" s="205" t="s">
        <v>3</v>
      </c>
      <c r="D42" s="205">
        <v>1</v>
      </c>
      <c r="F42" s="204" t="s">
        <v>910</v>
      </c>
      <c r="H42" s="204" t="s">
        <v>911</v>
      </c>
      <c r="J42" s="204" t="s">
        <v>912</v>
      </c>
      <c r="K42" s="204" t="s">
        <v>11</v>
      </c>
      <c r="L42" s="204" t="s">
        <v>913</v>
      </c>
      <c r="M42" s="204" t="s">
        <v>13</v>
      </c>
      <c r="N42" s="204" t="s">
        <v>914</v>
      </c>
    </row>
    <row r="43" spans="1:15" s="47" customFormat="1" ht="12.75" x14ac:dyDescent="0.2">
      <c r="B43" s="199"/>
    </row>
    <row r="44" spans="1:15" x14ac:dyDescent="0.25">
      <c r="B44" s="3"/>
      <c r="C44" s="9"/>
      <c r="D44" s="9"/>
      <c r="E44" s="9"/>
      <c r="F44" s="9"/>
      <c r="G44" s="9"/>
      <c r="H44" s="9"/>
      <c r="I44" s="9"/>
      <c r="J44" s="9"/>
      <c r="K44" s="9"/>
      <c r="L44" s="9"/>
      <c r="M44" s="9"/>
      <c r="N44" s="9"/>
    </row>
    <row r="45" spans="1:15" x14ac:dyDescent="0.25">
      <c r="B45" s="3"/>
    </row>
    <row r="52" spans="4:18" x14ac:dyDescent="0.25">
      <c r="D52" s="126">
        <v>1</v>
      </c>
      <c r="F52" s="171">
        <v>1</v>
      </c>
    </row>
    <row r="53" spans="4:18" x14ac:dyDescent="0.25">
      <c r="D53" s="206">
        <v>2</v>
      </c>
      <c r="E53" s="171"/>
      <c r="F53" s="171">
        <v>0.9</v>
      </c>
      <c r="G53" s="171"/>
      <c r="H53" s="171"/>
      <c r="I53" s="171"/>
      <c r="J53" s="171"/>
      <c r="K53" s="171"/>
      <c r="L53" s="171"/>
      <c r="M53" s="171"/>
      <c r="N53" s="171"/>
      <c r="O53" s="171"/>
      <c r="P53" s="171"/>
      <c r="Q53" s="171"/>
      <c r="R53" s="171"/>
    </row>
    <row r="54" spans="4:18" x14ac:dyDescent="0.25">
      <c r="D54" s="126">
        <v>3</v>
      </c>
      <c r="F54" s="171">
        <v>0.8</v>
      </c>
    </row>
    <row r="55" spans="4:18" x14ac:dyDescent="0.25">
      <c r="D55" s="126">
        <v>4</v>
      </c>
      <c r="F55" s="171">
        <v>0.7</v>
      </c>
    </row>
    <row r="56" spans="4:18" x14ac:dyDescent="0.25">
      <c r="D56" s="126">
        <v>5</v>
      </c>
      <c r="F56" s="171">
        <v>0.6</v>
      </c>
    </row>
    <row r="57" spans="4:18" x14ac:dyDescent="0.25">
      <c r="D57" s="126">
        <v>6</v>
      </c>
      <c r="F57" s="171">
        <v>0.5</v>
      </c>
    </row>
    <row r="58" spans="4:18" x14ac:dyDescent="0.25">
      <c r="D58" s="126">
        <v>7</v>
      </c>
      <c r="F58" s="171">
        <v>0.4</v>
      </c>
    </row>
    <row r="59" spans="4:18" x14ac:dyDescent="0.25">
      <c r="D59" s="126">
        <v>8</v>
      </c>
      <c r="F59" s="171">
        <v>0.3</v>
      </c>
    </row>
    <row r="60" spans="4:18" x14ac:dyDescent="0.25">
      <c r="D60" s="126">
        <v>9</v>
      </c>
      <c r="F60" s="171">
        <v>0.2</v>
      </c>
    </row>
    <row r="61" spans="4:18" x14ac:dyDescent="0.25">
      <c r="D61" s="126">
        <v>10</v>
      </c>
      <c r="F61" s="171">
        <v>0.1</v>
      </c>
    </row>
  </sheetData>
  <mergeCells count="9">
    <mergeCell ref="J41:L41"/>
    <mergeCell ref="D1:N1"/>
    <mergeCell ref="D2:N2"/>
    <mergeCell ref="C6:D6"/>
    <mergeCell ref="E6:F6"/>
    <mergeCell ref="G6:H6"/>
    <mergeCell ref="I6:J6"/>
    <mergeCell ref="K6:L6"/>
    <mergeCell ref="M6:N6"/>
  </mergeCells>
  <conditionalFormatting sqref="D18:N18">
    <cfRule type="cellIs" dxfId="0" priority="1" stopIfTrue="1" operator="lessThan">
      <formula>0</formula>
    </cfRule>
  </conditionalFormatting>
  <pageMargins left="0.7" right="0.7" top="0.75" bottom="0.75" header="0.3" footer="0.3"/>
  <pageSetup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43"/>
  <sheetViews>
    <sheetView showGridLines="0" topLeftCell="A14" zoomScaleNormal="100" workbookViewId="0">
      <selection activeCell="D44" sqref="D44"/>
    </sheetView>
  </sheetViews>
  <sheetFormatPr baseColWidth="10" defaultRowHeight="15" x14ac:dyDescent="0.25"/>
  <cols>
    <col min="2" max="2" width="33.42578125" bestFit="1" customWidth="1"/>
    <col min="3" max="3" width="19.5703125" customWidth="1"/>
    <col min="4" max="4" width="18.28515625" bestFit="1" customWidth="1"/>
    <col min="5" max="5" width="20" customWidth="1"/>
    <col min="6" max="6" width="22" customWidth="1"/>
    <col min="7" max="11" width="18.28515625" bestFit="1" customWidth="1"/>
    <col min="12" max="12" width="19.42578125" customWidth="1"/>
    <col min="13" max="13" width="16.85546875" bestFit="1" customWidth="1"/>
    <col min="14" max="14" width="17" customWidth="1"/>
  </cols>
  <sheetData>
    <row r="3" spans="1:21" s="126" customFormat="1" ht="36" x14ac:dyDescent="0.55000000000000004">
      <c r="A3" s="127"/>
      <c r="B3" s="426" t="s">
        <v>1282</v>
      </c>
      <c r="C3" s="426"/>
      <c r="D3" s="426"/>
      <c r="E3" s="426"/>
      <c r="F3" s="426"/>
      <c r="G3" s="426"/>
      <c r="H3" s="426"/>
      <c r="I3" s="426"/>
    </row>
    <row r="4" spans="1:21" s="126" customFormat="1" x14ac:dyDescent="0.25">
      <c r="A4" s="127"/>
      <c r="B4" s="124"/>
      <c r="C4" s="124"/>
      <c r="D4" s="125"/>
      <c r="E4" s="125"/>
      <c r="F4" s="124"/>
      <c r="G4" s="125"/>
      <c r="H4" s="125"/>
      <c r="I4" s="124"/>
      <c r="J4" s="125"/>
      <c r="K4" s="125"/>
      <c r="L4" s="124"/>
      <c r="M4" s="125"/>
      <c r="N4" s="125"/>
    </row>
    <row r="5" spans="1:21" s="126" customFormat="1" x14ac:dyDescent="0.25">
      <c r="A5" s="127"/>
      <c r="B5" s="124"/>
      <c r="C5" s="94"/>
      <c r="D5" s="125"/>
      <c r="E5" s="125"/>
    </row>
    <row r="6" spans="1:21" s="126" customFormat="1" x14ac:dyDescent="0.25">
      <c r="A6" s="127"/>
      <c r="B6" s="124"/>
      <c r="C6" s="94"/>
      <c r="D6" s="125"/>
      <c r="E6" s="125"/>
    </row>
    <row r="7" spans="1:21" s="126" customFormat="1" x14ac:dyDescent="0.25">
      <c r="A7" s="127"/>
      <c r="B7" s="124"/>
      <c r="C7" s="124"/>
      <c r="D7" s="125"/>
      <c r="E7" s="125"/>
    </row>
    <row r="8" spans="1:21" s="126" customFormat="1" ht="21" x14ac:dyDescent="0.3">
      <c r="B8" s="435" t="s">
        <v>137</v>
      </c>
      <c r="C8" s="435"/>
      <c r="D8" s="427" t="s">
        <v>869</v>
      </c>
      <c r="E8" s="427"/>
      <c r="F8" s="427"/>
      <c r="G8" s="427"/>
      <c r="H8" s="427"/>
      <c r="I8" s="427"/>
      <c r="J8" s="427"/>
      <c r="K8" s="427"/>
      <c r="L8" s="427"/>
      <c r="M8" s="427"/>
      <c r="N8" s="427"/>
    </row>
    <row r="9" spans="1:21" s="126" customFormat="1" ht="21" customHeight="1" x14ac:dyDescent="0.35">
      <c r="B9" s="130" t="s">
        <v>868</v>
      </c>
      <c r="C9" s="130" t="s">
        <v>3</v>
      </c>
      <c r="D9" s="129" t="s">
        <v>4</v>
      </c>
      <c r="E9" s="130" t="s">
        <v>5</v>
      </c>
      <c r="F9" s="129" t="s">
        <v>6</v>
      </c>
      <c r="G9" s="130" t="s">
        <v>7</v>
      </c>
      <c r="H9" s="129" t="s">
        <v>8</v>
      </c>
      <c r="I9" s="130" t="s">
        <v>9</v>
      </c>
      <c r="J9" s="129" t="s">
        <v>10</v>
      </c>
      <c r="K9" s="130" t="s">
        <v>11</v>
      </c>
      <c r="L9" s="129" t="s">
        <v>12</v>
      </c>
      <c r="M9" s="130" t="s">
        <v>13</v>
      </c>
      <c r="N9" s="129" t="s">
        <v>14</v>
      </c>
      <c r="P9" s="425" t="s">
        <v>1281</v>
      </c>
      <c r="Q9" s="425"/>
      <c r="R9" s="425"/>
      <c r="S9" s="425"/>
      <c r="T9" s="425"/>
      <c r="U9" s="425"/>
    </row>
    <row r="10" spans="1:21" s="126" customFormat="1" ht="21" x14ac:dyDescent="0.45">
      <c r="B10" s="128" t="s">
        <v>138</v>
      </c>
      <c r="C10" s="154">
        <v>1250000</v>
      </c>
      <c r="D10" s="154">
        <v>500000</v>
      </c>
      <c r="E10" s="154">
        <v>350000</v>
      </c>
      <c r="F10" s="154">
        <v>225000</v>
      </c>
      <c r="G10" s="155">
        <v>350000</v>
      </c>
      <c r="H10" s="154">
        <v>500000</v>
      </c>
      <c r="I10" s="154">
        <v>150000</v>
      </c>
      <c r="J10" s="259">
        <v>225000</v>
      </c>
      <c r="K10" s="156">
        <v>550000</v>
      </c>
      <c r="L10" s="156">
        <v>752222</v>
      </c>
      <c r="M10" s="156">
        <v>1254</v>
      </c>
      <c r="N10" s="156">
        <v>14778</v>
      </c>
      <c r="P10" s="425"/>
      <c r="Q10" s="425"/>
      <c r="R10" s="425"/>
      <c r="S10" s="425"/>
      <c r="T10" s="425"/>
      <c r="U10" s="425"/>
    </row>
    <row r="11" spans="1:21" s="126" customFormat="1" ht="21" x14ac:dyDescent="0.45">
      <c r="B11" s="229" t="s">
        <v>1284</v>
      </c>
      <c r="C11" s="251" t="s">
        <v>966</v>
      </c>
      <c r="D11" s="252" t="s">
        <v>966</v>
      </c>
      <c r="E11" s="252" t="s">
        <v>966</v>
      </c>
      <c r="F11" s="252" t="s">
        <v>966</v>
      </c>
      <c r="G11" s="253" t="s">
        <v>966</v>
      </c>
      <c r="H11" s="252" t="s">
        <v>966</v>
      </c>
      <c r="I11" s="252" t="s">
        <v>966</v>
      </c>
      <c r="J11" s="254" t="s">
        <v>966</v>
      </c>
      <c r="K11" s="255" t="s">
        <v>1283</v>
      </c>
      <c r="L11" s="255" t="s">
        <v>1283</v>
      </c>
      <c r="M11" s="255" t="s">
        <v>1283</v>
      </c>
      <c r="N11" s="255" t="s">
        <v>1283</v>
      </c>
      <c r="P11" s="425"/>
      <c r="Q11" s="425"/>
      <c r="R11" s="425"/>
      <c r="S11" s="425"/>
      <c r="T11" s="425"/>
      <c r="U11" s="425"/>
    </row>
    <row r="12" spans="1:21" s="126" customFormat="1" ht="21" x14ac:dyDescent="0.45">
      <c r="B12" s="132"/>
      <c r="C12" s="256" t="s">
        <v>1285</v>
      </c>
      <c r="D12" s="256" t="s">
        <v>1285</v>
      </c>
      <c r="E12" s="256" t="s">
        <v>1285</v>
      </c>
      <c r="F12" s="256" t="s">
        <v>1285</v>
      </c>
      <c r="G12" s="256" t="s">
        <v>1285</v>
      </c>
      <c r="H12" s="256" t="s">
        <v>1285</v>
      </c>
      <c r="I12" s="256" t="s">
        <v>1285</v>
      </c>
      <c r="J12" s="256" t="s">
        <v>1285</v>
      </c>
      <c r="K12" s="257"/>
      <c r="L12" s="257"/>
      <c r="M12" s="257"/>
      <c r="N12" s="257"/>
      <c r="P12" s="425"/>
      <c r="Q12" s="425"/>
      <c r="R12" s="425"/>
      <c r="S12" s="425"/>
      <c r="T12" s="425"/>
      <c r="U12" s="425"/>
    </row>
    <row r="13" spans="1:21" s="126" customFormat="1" ht="21" x14ac:dyDescent="0.45">
      <c r="B13" s="132"/>
      <c r="C13" s="260" t="s">
        <v>1288</v>
      </c>
      <c r="D13" s="260" t="s">
        <v>1288</v>
      </c>
      <c r="E13" s="260" t="s">
        <v>1288</v>
      </c>
      <c r="F13" s="260" t="s">
        <v>1288</v>
      </c>
      <c r="G13" s="260" t="s">
        <v>1288</v>
      </c>
      <c r="H13" s="260" t="s">
        <v>1288</v>
      </c>
      <c r="I13" s="260" t="s">
        <v>1288</v>
      </c>
      <c r="J13" s="260" t="s">
        <v>1288</v>
      </c>
      <c r="K13" s="257"/>
      <c r="L13" s="257"/>
      <c r="M13" s="257"/>
      <c r="N13" s="257"/>
      <c r="P13" s="425"/>
      <c r="Q13" s="425"/>
      <c r="R13" s="425"/>
      <c r="S13" s="425"/>
      <c r="T13" s="425"/>
      <c r="U13" s="425"/>
    </row>
    <row r="14" spans="1:21" s="126" customFormat="1" x14ac:dyDescent="0.25">
      <c r="P14" s="425"/>
      <c r="Q14" s="425"/>
      <c r="R14" s="425"/>
      <c r="S14" s="425"/>
      <c r="T14" s="425"/>
      <c r="U14" s="425"/>
    </row>
    <row r="15" spans="1:21" s="126" customFormat="1" ht="15" customHeight="1" x14ac:dyDescent="0.4">
      <c r="B15" s="132" t="s">
        <v>856</v>
      </c>
      <c r="C15" s="262">
        <f>C10+D10+E10+F10+G10+H10+I10+J10+K10</f>
        <v>4100000</v>
      </c>
    </row>
    <row r="16" spans="1:21" s="126" customFormat="1" ht="18.75" x14ac:dyDescent="0.3">
      <c r="B16" s="132"/>
      <c r="C16" s="133"/>
    </row>
    <row r="17" spans="2:21" ht="26.25" x14ac:dyDescent="0.4">
      <c r="B17" s="445" t="s">
        <v>875</v>
      </c>
      <c r="C17" s="445"/>
      <c r="D17" s="445"/>
      <c r="E17" s="445"/>
      <c r="P17" s="444" t="s">
        <v>1289</v>
      </c>
      <c r="Q17" s="444"/>
      <c r="R17" s="444"/>
      <c r="S17" s="444"/>
      <c r="T17" s="444"/>
      <c r="U17" s="444"/>
    </row>
    <row r="18" spans="2:21" ht="21" x14ac:dyDescent="0.35">
      <c r="B18" s="416" t="s">
        <v>137</v>
      </c>
      <c r="C18" s="416"/>
      <c r="D18" s="427" t="s">
        <v>869</v>
      </c>
      <c r="E18" s="427"/>
      <c r="F18" s="427"/>
      <c r="G18" s="427"/>
      <c r="H18" s="427"/>
      <c r="I18" s="427"/>
      <c r="J18" s="427"/>
      <c r="K18" s="427"/>
      <c r="L18" s="427"/>
      <c r="M18" s="427"/>
      <c r="N18" s="427"/>
      <c r="P18" s="444"/>
      <c r="Q18" s="444"/>
      <c r="R18" s="444"/>
      <c r="S18" s="444"/>
      <c r="T18" s="444"/>
      <c r="U18" s="444"/>
    </row>
    <row r="19" spans="2:21" ht="21" x14ac:dyDescent="0.35">
      <c r="B19" s="130" t="s">
        <v>868</v>
      </c>
      <c r="C19" s="130" t="s">
        <v>3</v>
      </c>
      <c r="D19" s="129" t="s">
        <v>4</v>
      </c>
      <c r="E19" s="130" t="s">
        <v>5</v>
      </c>
      <c r="F19" s="129" t="s">
        <v>6</v>
      </c>
      <c r="G19" s="130" t="s">
        <v>7</v>
      </c>
      <c r="H19" s="129" t="s">
        <v>8</v>
      </c>
      <c r="I19" s="130" t="s">
        <v>9</v>
      </c>
      <c r="J19" s="129" t="s">
        <v>10</v>
      </c>
      <c r="K19" s="130" t="s">
        <v>11</v>
      </c>
      <c r="L19" s="129" t="s">
        <v>12</v>
      </c>
      <c r="M19" s="130" t="s">
        <v>13</v>
      </c>
      <c r="N19" s="129" t="s">
        <v>14</v>
      </c>
      <c r="P19" s="444"/>
      <c r="Q19" s="444"/>
      <c r="R19" s="444"/>
      <c r="S19" s="444"/>
      <c r="T19" s="444"/>
      <c r="U19" s="444"/>
    </row>
    <row r="20" spans="2:21" ht="21" x14ac:dyDescent="0.45">
      <c r="B20" s="128" t="s">
        <v>138</v>
      </c>
      <c r="C20" s="154">
        <v>250000</v>
      </c>
      <c r="D20" s="154">
        <v>125000</v>
      </c>
      <c r="E20" s="154">
        <v>150000</v>
      </c>
      <c r="F20" s="154">
        <v>225000</v>
      </c>
      <c r="G20" s="155">
        <v>350000</v>
      </c>
      <c r="H20" s="154">
        <v>500000</v>
      </c>
      <c r="I20" s="154">
        <v>150000</v>
      </c>
      <c r="J20" s="154">
        <v>225000</v>
      </c>
      <c r="K20" s="156">
        <v>550000</v>
      </c>
      <c r="L20" s="156">
        <v>752222</v>
      </c>
      <c r="M20" s="156">
        <v>1254</v>
      </c>
      <c r="N20" s="156">
        <v>14778</v>
      </c>
      <c r="P20" s="444"/>
      <c r="Q20" s="444"/>
      <c r="R20" s="444"/>
      <c r="S20" s="444"/>
      <c r="T20" s="444"/>
      <c r="U20" s="444"/>
    </row>
    <row r="21" spans="2:21" ht="15" customHeight="1" x14ac:dyDescent="0.25">
      <c r="B21" s="436" t="s">
        <v>874</v>
      </c>
      <c r="C21" s="438" t="s">
        <v>876</v>
      </c>
      <c r="D21" s="439"/>
      <c r="E21" s="439"/>
      <c r="F21" s="439"/>
      <c r="G21" s="439"/>
      <c r="H21" s="439"/>
      <c r="I21" s="439"/>
      <c r="J21" s="439"/>
      <c r="K21" s="439"/>
      <c r="L21" s="439"/>
      <c r="M21" s="439"/>
      <c r="N21" s="440"/>
    </row>
    <row r="22" spans="2:21" ht="15" customHeight="1" x14ac:dyDescent="0.25">
      <c r="B22" s="437"/>
      <c r="C22" s="441"/>
      <c r="D22" s="442"/>
      <c r="E22" s="442"/>
      <c r="F22" s="442"/>
      <c r="G22" s="442"/>
      <c r="H22" s="442"/>
      <c r="I22" s="442"/>
      <c r="J22" s="442"/>
      <c r="K22" s="442"/>
      <c r="L22" s="442"/>
      <c r="M22" s="442"/>
      <c r="N22" s="443"/>
    </row>
    <row r="24" spans="2:21" ht="17.25" x14ac:dyDescent="0.4">
      <c r="B24" s="93" t="s">
        <v>853</v>
      </c>
      <c r="C24" s="261">
        <f>SUM(C20:N20)</f>
        <v>3293254</v>
      </c>
    </row>
    <row r="26" spans="2:21" x14ac:dyDescent="0.25">
      <c r="B26" s="157" t="s">
        <v>877</v>
      </c>
    </row>
    <row r="27" spans="2:21" s="126" customFormat="1" x14ac:dyDescent="0.25">
      <c r="B27" s="157"/>
    </row>
    <row r="28" spans="2:21" s="126" customFormat="1" ht="26.25" x14ac:dyDescent="0.4">
      <c r="B28" s="445" t="s">
        <v>1286</v>
      </c>
      <c r="C28" s="445"/>
      <c r="D28" s="445"/>
      <c r="E28" s="445"/>
    </row>
    <row r="29" spans="2:21" s="126" customFormat="1" ht="21" x14ac:dyDescent="0.35">
      <c r="B29" s="416" t="s">
        <v>137</v>
      </c>
      <c r="C29" s="416"/>
      <c r="D29" s="427" t="s">
        <v>869</v>
      </c>
      <c r="E29" s="427"/>
      <c r="F29" s="427"/>
      <c r="G29" s="427"/>
      <c r="H29" s="427"/>
      <c r="I29" s="427"/>
      <c r="J29" s="427"/>
      <c r="K29" s="427"/>
      <c r="L29" s="427"/>
      <c r="M29" s="427"/>
      <c r="N29" s="427"/>
    </row>
    <row r="30" spans="2:21" s="126" customFormat="1" ht="21" x14ac:dyDescent="0.35">
      <c r="B30" s="228" t="s">
        <v>868</v>
      </c>
      <c r="C30" s="228" t="s">
        <v>3</v>
      </c>
      <c r="D30" s="129" t="s">
        <v>4</v>
      </c>
      <c r="E30" s="228" t="s">
        <v>5</v>
      </c>
      <c r="F30" s="129" t="s">
        <v>6</v>
      </c>
      <c r="G30" s="228" t="s">
        <v>7</v>
      </c>
      <c r="H30" s="129" t="s">
        <v>8</v>
      </c>
      <c r="I30" s="228" t="s">
        <v>9</v>
      </c>
      <c r="J30" s="129" t="s">
        <v>10</v>
      </c>
      <c r="K30" s="228" t="s">
        <v>11</v>
      </c>
      <c r="L30" s="129" t="s">
        <v>12</v>
      </c>
      <c r="M30" s="228" t="s">
        <v>13</v>
      </c>
      <c r="N30" s="129" t="s">
        <v>14</v>
      </c>
    </row>
    <row r="31" spans="2:21" s="126" customFormat="1" ht="21" x14ac:dyDescent="0.45">
      <c r="B31" s="227" t="s">
        <v>138</v>
      </c>
      <c r="C31" s="238">
        <v>250000</v>
      </c>
      <c r="D31" s="238">
        <v>125000</v>
      </c>
      <c r="E31" s="238">
        <v>150000</v>
      </c>
      <c r="F31" s="238">
        <v>225000</v>
      </c>
      <c r="G31" s="258">
        <v>350000</v>
      </c>
      <c r="H31" s="238">
        <v>500000</v>
      </c>
      <c r="I31" s="238">
        <v>150000</v>
      </c>
      <c r="J31" s="238">
        <v>225000</v>
      </c>
      <c r="K31" s="258">
        <v>550000</v>
      </c>
      <c r="L31" s="258">
        <v>752222</v>
      </c>
      <c r="M31" s="258">
        <v>1254</v>
      </c>
      <c r="N31" s="258">
        <v>14778</v>
      </c>
    </row>
    <row r="32" spans="2:21" s="126" customFormat="1" ht="15" customHeight="1" x14ac:dyDescent="0.25">
      <c r="B32" s="436" t="s">
        <v>874</v>
      </c>
      <c r="C32" s="438" t="s">
        <v>1287</v>
      </c>
      <c r="D32" s="439"/>
      <c r="E32" s="439"/>
      <c r="F32" s="439"/>
      <c r="G32" s="439"/>
      <c r="H32" s="439"/>
      <c r="I32" s="439"/>
      <c r="J32" s="439"/>
      <c r="K32" s="439"/>
      <c r="L32" s="439"/>
      <c r="M32" s="439"/>
      <c r="N32" s="440"/>
    </row>
    <row r="33" spans="2:14" s="126" customFormat="1" ht="15" customHeight="1" x14ac:dyDescent="0.25">
      <c r="B33" s="437"/>
      <c r="C33" s="441"/>
      <c r="D33" s="442"/>
      <c r="E33" s="442"/>
      <c r="F33" s="442"/>
      <c r="G33" s="442"/>
      <c r="H33" s="442"/>
      <c r="I33" s="442"/>
      <c r="J33" s="442"/>
      <c r="K33" s="442"/>
      <c r="L33" s="442"/>
      <c r="M33" s="442"/>
      <c r="N33" s="443"/>
    </row>
    <row r="34" spans="2:14" s="126" customFormat="1" x14ac:dyDescent="0.25"/>
    <row r="35" spans="2:14" s="126" customFormat="1" x14ac:dyDescent="0.25">
      <c r="B35" s="93" t="s">
        <v>853</v>
      </c>
      <c r="C35" s="16">
        <f>SUM(C31:N31)</f>
        <v>3293254</v>
      </c>
    </row>
    <row r="37" spans="2:14" x14ac:dyDescent="0.25">
      <c r="B37" t="s">
        <v>943</v>
      </c>
      <c r="C37" s="209">
        <v>44814</v>
      </c>
    </row>
    <row r="38" spans="2:14" x14ac:dyDescent="0.25">
      <c r="B38" t="s">
        <v>944</v>
      </c>
      <c r="C38" s="209">
        <v>44926</v>
      </c>
    </row>
    <row r="39" spans="2:14" x14ac:dyDescent="0.25">
      <c r="B39" t="s">
        <v>945</v>
      </c>
      <c r="C39" s="184">
        <f>C38-C37+1</f>
        <v>113</v>
      </c>
    </row>
    <row r="40" spans="2:14" ht="17.25" x14ac:dyDescent="0.4">
      <c r="B40" t="s">
        <v>946</v>
      </c>
      <c r="C40" s="210">
        <v>2850741</v>
      </c>
      <c r="D40" t="s">
        <v>968</v>
      </c>
    </row>
    <row r="41" spans="2:14" x14ac:dyDescent="0.25">
      <c r="B41" t="s">
        <v>128</v>
      </c>
      <c r="C41" s="16">
        <f>C40/C39</f>
        <v>25227.796460176993</v>
      </c>
    </row>
    <row r="42" spans="2:14" x14ac:dyDescent="0.25">
      <c r="B42" t="s">
        <v>947</v>
      </c>
      <c r="C42" s="16">
        <v>365</v>
      </c>
      <c r="D42" t="s">
        <v>969</v>
      </c>
    </row>
    <row r="43" spans="2:14" x14ac:dyDescent="0.25">
      <c r="C43" s="74">
        <f>C41*C42</f>
        <v>9208145.7079646029</v>
      </c>
      <c r="D43" t="s">
        <v>1491</v>
      </c>
    </row>
  </sheetData>
  <mergeCells count="15">
    <mergeCell ref="P17:U20"/>
    <mergeCell ref="P9:U14"/>
    <mergeCell ref="C21:N22"/>
    <mergeCell ref="B28:E28"/>
    <mergeCell ref="B29:C29"/>
    <mergeCell ref="D29:N29"/>
    <mergeCell ref="B18:C18"/>
    <mergeCell ref="D18:N18"/>
    <mergeCell ref="B21:B22"/>
    <mergeCell ref="B17:E17"/>
    <mergeCell ref="B3:I3"/>
    <mergeCell ref="B8:C8"/>
    <mergeCell ref="D8:N8"/>
    <mergeCell ref="B32:B33"/>
    <mergeCell ref="C32:N33"/>
  </mergeCells>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29"/>
  <sheetViews>
    <sheetView showGridLines="0" zoomScale="130" zoomScaleNormal="130" workbookViewId="0">
      <selection activeCell="B27" sqref="B27:G27"/>
    </sheetView>
  </sheetViews>
  <sheetFormatPr baseColWidth="10" defaultRowHeight="15" x14ac:dyDescent="0.25"/>
  <cols>
    <col min="1" max="1" width="6.28515625" style="126" customWidth="1"/>
    <col min="2" max="2" width="14.28515625" customWidth="1"/>
    <col min="3" max="3" width="5.140625" hidden="1" customWidth="1"/>
    <col min="4" max="4" width="3.140625" customWidth="1"/>
    <col min="7" max="7" width="11.42578125" style="126"/>
    <col min="8" max="8" width="16.85546875" style="126" bestFit="1" customWidth="1"/>
    <col min="9" max="9" width="6.28515625" customWidth="1"/>
    <col min="10" max="10" width="15" customWidth="1"/>
    <col min="15" max="15" width="1.85546875" customWidth="1"/>
    <col min="16" max="16" width="12.5703125" customWidth="1"/>
  </cols>
  <sheetData>
    <row r="4" spans="2:16" x14ac:dyDescent="0.25">
      <c r="D4" s="455" t="s">
        <v>916</v>
      </c>
      <c r="E4" s="455"/>
      <c r="F4" s="455"/>
      <c r="G4" s="455"/>
      <c r="H4" s="455"/>
      <c r="I4" s="455"/>
      <c r="J4" s="455"/>
      <c r="K4" s="455"/>
      <c r="L4" s="455"/>
    </row>
    <row r="5" spans="2:16" x14ac:dyDescent="0.25">
      <c r="D5" s="455"/>
      <c r="E5" s="455"/>
      <c r="F5" s="455"/>
      <c r="G5" s="455"/>
      <c r="H5" s="455"/>
      <c r="I5" s="455"/>
      <c r="J5" s="455"/>
      <c r="K5" s="455"/>
      <c r="L5" s="455"/>
    </row>
    <row r="8" spans="2:16" x14ac:dyDescent="0.25">
      <c r="C8" s="452" t="s">
        <v>917</v>
      </c>
      <c r="D8" s="452"/>
      <c r="E8" s="452"/>
      <c r="F8" s="452"/>
      <c r="G8" s="185"/>
      <c r="H8" s="185"/>
      <c r="J8" s="452" t="s">
        <v>918</v>
      </c>
      <c r="K8" s="452"/>
      <c r="L8" s="452"/>
      <c r="M8" s="452"/>
    </row>
    <row r="9" spans="2:16" s="126" customFormat="1" x14ac:dyDescent="0.25">
      <c r="C9" s="185"/>
      <c r="D9" s="185"/>
      <c r="E9" s="185"/>
      <c r="F9" s="185"/>
      <c r="G9" s="185"/>
      <c r="H9" s="185"/>
      <c r="J9" s="185"/>
      <c r="K9" s="185"/>
      <c r="L9" s="185"/>
      <c r="M9" s="185"/>
    </row>
    <row r="10" spans="2:16" ht="18.75" x14ac:dyDescent="0.3">
      <c r="B10" s="446" t="s">
        <v>927</v>
      </c>
      <c r="C10" s="446"/>
      <c r="D10" s="446"/>
      <c r="E10" s="446"/>
      <c r="F10" s="446"/>
      <c r="G10" s="446"/>
      <c r="H10" s="446"/>
      <c r="J10" s="446" t="s">
        <v>930</v>
      </c>
      <c r="K10" s="446"/>
      <c r="L10" s="446"/>
      <c r="M10" s="446"/>
      <c r="N10" s="446"/>
      <c r="O10" s="446"/>
      <c r="P10" s="446"/>
    </row>
    <row r="11" spans="2:16" x14ac:dyDescent="0.25">
      <c r="B11" s="185" t="s">
        <v>922</v>
      </c>
      <c r="C11" s="452" t="s">
        <v>919</v>
      </c>
      <c r="D11" s="452"/>
      <c r="E11" s="452"/>
      <c r="F11" s="452"/>
      <c r="G11" s="452"/>
      <c r="H11" s="185" t="s">
        <v>925</v>
      </c>
      <c r="J11" s="220" t="s">
        <v>922</v>
      </c>
      <c r="K11" s="449" t="s">
        <v>919</v>
      </c>
      <c r="L11" s="449"/>
      <c r="M11" s="449"/>
      <c r="N11" s="449"/>
      <c r="O11" s="449"/>
      <c r="P11" s="220" t="s">
        <v>925</v>
      </c>
    </row>
    <row r="12" spans="2:16" x14ac:dyDescent="0.25">
      <c r="B12" s="185" t="s">
        <v>923</v>
      </c>
      <c r="C12" s="452" t="s">
        <v>920</v>
      </c>
      <c r="D12" s="452"/>
      <c r="E12" s="452"/>
      <c r="F12" s="452"/>
      <c r="G12" s="452"/>
      <c r="H12" s="185" t="s">
        <v>926</v>
      </c>
      <c r="J12" s="220" t="s">
        <v>923</v>
      </c>
      <c r="K12" s="449" t="s">
        <v>920</v>
      </c>
      <c r="L12" s="449"/>
      <c r="M12" s="449"/>
      <c r="N12" s="449"/>
      <c r="O12" s="449"/>
      <c r="P12" s="220" t="s">
        <v>929</v>
      </c>
    </row>
    <row r="13" spans="2:16" x14ac:dyDescent="0.25">
      <c r="B13" s="185" t="s">
        <v>924</v>
      </c>
      <c r="C13" s="452" t="s">
        <v>921</v>
      </c>
      <c r="D13" s="452"/>
      <c r="E13" s="452"/>
      <c r="F13" s="452"/>
      <c r="G13" s="452"/>
      <c r="H13" s="185" t="s">
        <v>925</v>
      </c>
      <c r="J13" s="220" t="s">
        <v>924</v>
      </c>
      <c r="K13" s="449" t="s">
        <v>921</v>
      </c>
      <c r="L13" s="449"/>
      <c r="M13" s="449"/>
      <c r="N13" s="449"/>
      <c r="O13" s="449"/>
      <c r="P13" s="220" t="s">
        <v>925</v>
      </c>
    </row>
    <row r="14" spans="2:16" x14ac:dyDescent="0.25">
      <c r="J14" s="221" t="s">
        <v>935</v>
      </c>
      <c r="K14" s="451" t="s">
        <v>928</v>
      </c>
      <c r="L14" s="451"/>
      <c r="M14" s="451"/>
      <c r="N14" s="451"/>
      <c r="O14" s="451"/>
      <c r="P14" s="221" t="s">
        <v>926</v>
      </c>
    </row>
    <row r="16" spans="2:16" s="126" customFormat="1" ht="26.25" x14ac:dyDescent="0.4">
      <c r="E16" s="450" t="s">
        <v>937</v>
      </c>
      <c r="F16" s="450"/>
      <c r="G16" s="450"/>
      <c r="H16" s="450"/>
      <c r="I16" s="450"/>
      <c r="J16" s="450"/>
      <c r="K16" s="450"/>
      <c r="L16" s="450"/>
    </row>
    <row r="17" spans="2:16" s="126" customFormat="1" x14ac:dyDescent="0.25"/>
    <row r="18" spans="2:16" ht="18.75" x14ac:dyDescent="0.3">
      <c r="B18" s="446" t="s">
        <v>927</v>
      </c>
      <c r="C18" s="446"/>
      <c r="D18" s="446"/>
      <c r="E18" s="446"/>
      <c r="F18" s="446"/>
      <c r="G18" s="446"/>
      <c r="H18" s="446"/>
      <c r="J18" s="446" t="s">
        <v>930</v>
      </c>
      <c r="K18" s="446"/>
      <c r="L18" s="446"/>
      <c r="M18" s="446"/>
      <c r="N18" s="446"/>
      <c r="O18" s="446"/>
      <c r="P18" s="446"/>
    </row>
    <row r="19" spans="2:16" ht="33" customHeight="1" x14ac:dyDescent="0.25">
      <c r="B19" s="184" t="s">
        <v>922</v>
      </c>
      <c r="C19" s="184"/>
      <c r="D19" s="406" t="s">
        <v>931</v>
      </c>
      <c r="E19" s="406"/>
      <c r="F19" s="406"/>
      <c r="G19" s="406"/>
      <c r="H19" s="184" t="s">
        <v>925</v>
      </c>
      <c r="J19" s="222" t="s">
        <v>922</v>
      </c>
      <c r="K19" s="453" t="s">
        <v>931</v>
      </c>
      <c r="L19" s="453"/>
      <c r="M19" s="453"/>
      <c r="N19" s="453"/>
      <c r="O19" s="453"/>
      <c r="P19" s="223" t="s">
        <v>925</v>
      </c>
    </row>
    <row r="20" spans="2:16" ht="35.25" customHeight="1" x14ac:dyDescent="0.25">
      <c r="B20" s="184" t="s">
        <v>923</v>
      </c>
      <c r="C20" s="184"/>
      <c r="D20" s="406" t="s">
        <v>932</v>
      </c>
      <c r="E20" s="406"/>
      <c r="F20" s="406"/>
      <c r="G20" s="406"/>
      <c r="H20" s="184" t="s">
        <v>926</v>
      </c>
      <c r="J20" s="222" t="s">
        <v>933</v>
      </c>
      <c r="K20" s="453" t="s">
        <v>934</v>
      </c>
      <c r="L20" s="453"/>
      <c r="M20" s="453"/>
      <c r="N20" s="453"/>
      <c r="O20" s="453"/>
      <c r="P20" s="223" t="s">
        <v>925</v>
      </c>
    </row>
    <row r="21" spans="2:16" ht="48.75" customHeight="1" x14ac:dyDescent="0.25">
      <c r="B21" s="183" t="s">
        <v>933</v>
      </c>
      <c r="C21" s="184"/>
      <c r="D21" s="407" t="s">
        <v>934</v>
      </c>
      <c r="E21" s="407"/>
      <c r="F21" s="407"/>
      <c r="G21" s="407"/>
      <c r="H21" s="184" t="s">
        <v>925</v>
      </c>
      <c r="J21" s="224" t="s">
        <v>936</v>
      </c>
      <c r="K21" s="454" t="s">
        <v>928</v>
      </c>
      <c r="L21" s="454"/>
      <c r="M21" s="454"/>
      <c r="N21" s="454"/>
      <c r="O21" s="454"/>
      <c r="P21" s="225" t="s">
        <v>926</v>
      </c>
    </row>
    <row r="22" spans="2:16" x14ac:dyDescent="0.25">
      <c r="J22" s="220" t="s">
        <v>923</v>
      </c>
      <c r="K22" s="449" t="s">
        <v>920</v>
      </c>
      <c r="L22" s="449"/>
      <c r="M22" s="449"/>
      <c r="N22" s="449"/>
      <c r="O22" s="449"/>
      <c r="P22" s="220" t="s">
        <v>929</v>
      </c>
    </row>
    <row r="23" spans="2:16" ht="26.25" x14ac:dyDescent="0.4">
      <c r="E23" s="450" t="s">
        <v>938</v>
      </c>
      <c r="F23" s="450"/>
      <c r="G23" s="450"/>
      <c r="H23" s="450"/>
      <c r="I23" s="450"/>
      <c r="J23" s="450"/>
      <c r="K23" s="450"/>
      <c r="L23" s="450"/>
    </row>
    <row r="26" spans="2:16" ht="18.75" x14ac:dyDescent="0.3">
      <c r="B26" s="446" t="s">
        <v>927</v>
      </c>
      <c r="C26" s="446"/>
      <c r="D26" s="446"/>
      <c r="E26" s="446"/>
      <c r="F26" s="446"/>
      <c r="G26" s="446"/>
      <c r="H26" s="446"/>
      <c r="I26" s="126"/>
      <c r="J26" s="446" t="s">
        <v>930</v>
      </c>
      <c r="K26" s="446"/>
      <c r="L26" s="446"/>
      <c r="M26" s="446"/>
      <c r="N26" s="446"/>
      <c r="O26" s="446"/>
      <c r="P26" s="446"/>
    </row>
    <row r="27" spans="2:16" ht="24" customHeight="1" x14ac:dyDescent="0.25">
      <c r="B27" s="447" t="s">
        <v>939</v>
      </c>
      <c r="C27" s="447"/>
      <c r="D27" s="447"/>
      <c r="E27" s="447"/>
      <c r="F27" s="447"/>
      <c r="G27" s="447"/>
      <c r="H27" s="225" t="s">
        <v>925</v>
      </c>
      <c r="J27" s="449" t="s">
        <v>941</v>
      </c>
      <c r="K27" s="449"/>
      <c r="L27" s="449"/>
      <c r="M27" s="449"/>
      <c r="N27" s="449"/>
      <c r="O27" s="449"/>
      <c r="P27" s="223" t="str">
        <f>H27</f>
        <v>OBLIGATORIO</v>
      </c>
    </row>
    <row r="28" spans="2:16" ht="22.5" customHeight="1" x14ac:dyDescent="0.25">
      <c r="B28" s="447" t="s">
        <v>940</v>
      </c>
      <c r="C28" s="447"/>
      <c r="D28" s="447"/>
      <c r="E28" s="447"/>
      <c r="F28" s="447"/>
      <c r="G28" s="447"/>
      <c r="H28" s="225" t="s">
        <v>926</v>
      </c>
      <c r="J28" s="449" t="s">
        <v>942</v>
      </c>
      <c r="K28" s="449"/>
      <c r="L28" s="449"/>
      <c r="M28" s="449"/>
      <c r="N28" s="449"/>
      <c r="O28" s="449"/>
      <c r="P28" s="220" t="s">
        <v>926</v>
      </c>
    </row>
    <row r="29" spans="2:16" ht="23.25" customHeight="1" x14ac:dyDescent="0.25">
      <c r="B29" s="448" t="s">
        <v>941</v>
      </c>
      <c r="C29" s="448"/>
      <c r="D29" s="448"/>
      <c r="E29" s="448"/>
      <c r="F29" s="448"/>
      <c r="G29" s="448"/>
      <c r="H29" s="223" t="s">
        <v>925</v>
      </c>
    </row>
  </sheetData>
  <mergeCells count="30">
    <mergeCell ref="D4:L5"/>
    <mergeCell ref="C8:F8"/>
    <mergeCell ref="J8:M8"/>
    <mergeCell ref="C11:G11"/>
    <mergeCell ref="C12:G12"/>
    <mergeCell ref="B10:H10"/>
    <mergeCell ref="J10:P10"/>
    <mergeCell ref="K11:O11"/>
    <mergeCell ref="K12:O12"/>
    <mergeCell ref="E23:L23"/>
    <mergeCell ref="K13:O13"/>
    <mergeCell ref="K14:O14"/>
    <mergeCell ref="B18:H18"/>
    <mergeCell ref="J18:P18"/>
    <mergeCell ref="D19:G19"/>
    <mergeCell ref="D20:G20"/>
    <mergeCell ref="C13:G13"/>
    <mergeCell ref="K22:O22"/>
    <mergeCell ref="D21:G21"/>
    <mergeCell ref="K19:O19"/>
    <mergeCell ref="K20:O20"/>
    <mergeCell ref="K21:O21"/>
    <mergeCell ref="E16:L16"/>
    <mergeCell ref="B26:H26"/>
    <mergeCell ref="J26:P26"/>
    <mergeCell ref="B27:G27"/>
    <mergeCell ref="B28:G28"/>
    <mergeCell ref="B29:G29"/>
    <mergeCell ref="J27:O27"/>
    <mergeCell ref="J28:O28"/>
  </mergeCell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1" sqref="C11"/>
    </sheetView>
  </sheetViews>
  <sheetFormatPr baseColWidth="10"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13"/>
  <sheetViews>
    <sheetView showGridLines="0" topLeftCell="B1" zoomScale="160" zoomScaleNormal="160" workbookViewId="0">
      <selection activeCell="C6" sqref="C6"/>
    </sheetView>
  </sheetViews>
  <sheetFormatPr baseColWidth="10" defaultColWidth="31.140625" defaultRowHeight="15" x14ac:dyDescent="0.25"/>
  <cols>
    <col min="1" max="2" width="31.140625" style="126"/>
    <col min="3" max="3" width="39.42578125" style="126" bestFit="1" customWidth="1"/>
    <col min="4" max="16384" width="31.140625" style="126"/>
  </cols>
  <sheetData>
    <row r="4" spans="2:4" ht="15.75" x14ac:dyDescent="0.25">
      <c r="B4" s="212" t="s">
        <v>949</v>
      </c>
    </row>
    <row r="6" spans="2:4" ht="15.75" x14ac:dyDescent="0.25">
      <c r="B6" s="213" t="s">
        <v>880</v>
      </c>
      <c r="C6" s="213" t="s">
        <v>956</v>
      </c>
      <c r="D6" s="61">
        <f>+[6]ISR!D27</f>
        <v>5798710.3399999999</v>
      </c>
    </row>
    <row r="7" spans="2:4" ht="15.75" x14ac:dyDescent="0.25">
      <c r="B7" s="214" t="s">
        <v>879</v>
      </c>
      <c r="C7" s="213" t="s">
        <v>957</v>
      </c>
      <c r="D7" s="215">
        <v>4982289.7300000004</v>
      </c>
    </row>
    <row r="8" spans="2:4" ht="15.75" x14ac:dyDescent="0.25">
      <c r="B8" s="214" t="s">
        <v>880</v>
      </c>
      <c r="C8" s="213" t="s">
        <v>951</v>
      </c>
      <c r="D8" s="61">
        <f>+D6-D7</f>
        <v>816420.6099999994</v>
      </c>
    </row>
    <row r="9" spans="2:4" ht="15.75" x14ac:dyDescent="0.25">
      <c r="B9" s="214" t="s">
        <v>879</v>
      </c>
      <c r="C9" s="213" t="s">
        <v>950</v>
      </c>
      <c r="D9" s="215">
        <v>152254</v>
      </c>
    </row>
    <row r="10" spans="2:4" ht="15.75" x14ac:dyDescent="0.25">
      <c r="B10" s="214" t="s">
        <v>880</v>
      </c>
      <c r="C10" s="213" t="s">
        <v>952</v>
      </c>
      <c r="D10" s="61">
        <f>D8-D9</f>
        <v>664166.6099999994</v>
      </c>
    </row>
    <row r="11" spans="2:4" ht="15.75" x14ac:dyDescent="0.25">
      <c r="B11" s="214" t="s">
        <v>953</v>
      </c>
      <c r="C11" s="213" t="s">
        <v>954</v>
      </c>
      <c r="D11" s="216">
        <v>0.1</v>
      </c>
    </row>
    <row r="12" spans="2:4" ht="16.5" thickBot="1" x14ac:dyDescent="0.3">
      <c r="B12" s="214" t="s">
        <v>880</v>
      </c>
      <c r="C12" s="213" t="s">
        <v>955</v>
      </c>
      <c r="D12" s="217">
        <f>+D10*D11</f>
        <v>66416.660999999949</v>
      </c>
    </row>
    <row r="13" spans="2:4" ht="15.75" thickTop="1"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3"/>
  <sheetViews>
    <sheetView showGridLines="0" topLeftCell="A22" workbookViewId="0">
      <selection activeCell="B29" sqref="B29"/>
    </sheetView>
  </sheetViews>
  <sheetFormatPr baseColWidth="10" defaultRowHeight="15" x14ac:dyDescent="0.25"/>
  <sheetData>
    <row r="1" spans="2:2" x14ac:dyDescent="0.25">
      <c r="B1">
        <f>160/3*2</f>
        <v>106.66666666666667</v>
      </c>
    </row>
    <row r="8" spans="2:2" x14ac:dyDescent="0.25">
      <c r="B8" s="211"/>
    </row>
    <row r="20" spans="13:14" x14ac:dyDescent="0.25">
      <c r="M20">
        <v>1000</v>
      </c>
    </row>
    <row r="21" spans="13:14" x14ac:dyDescent="0.25">
      <c r="M21">
        <f>M20*1.25%</f>
        <v>12.5</v>
      </c>
      <c r="N21" t="s">
        <v>108</v>
      </c>
    </row>
    <row r="22" spans="13:14" x14ac:dyDescent="0.25">
      <c r="M22">
        <v>160</v>
      </c>
    </row>
    <row r="23" spans="13:14" x14ac:dyDescent="0.25">
      <c r="M23" s="226">
        <f>M22/3*2</f>
        <v>106.66666666666667</v>
      </c>
      <c r="N23" t="s">
        <v>109</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38"/>
  <sheetViews>
    <sheetView showGridLines="0" zoomScale="120" zoomScaleNormal="120" workbookViewId="0">
      <selection activeCell="B8" sqref="B8:C10"/>
    </sheetView>
  </sheetViews>
  <sheetFormatPr baseColWidth="10" defaultRowHeight="15" x14ac:dyDescent="0.25"/>
  <cols>
    <col min="5" max="5" width="44.5703125" bestFit="1" customWidth="1"/>
    <col min="6" max="7" width="32" bestFit="1" customWidth="1"/>
    <col min="8" max="8" width="23" bestFit="1" customWidth="1"/>
    <col min="9" max="9" width="14.85546875" bestFit="1" customWidth="1"/>
  </cols>
  <sheetData>
    <row r="3" spans="2:27" x14ac:dyDescent="0.25">
      <c r="E3" s="456" t="s">
        <v>1290</v>
      </c>
      <c r="F3" s="456"/>
      <c r="G3" s="115"/>
      <c r="H3" s="457" t="s">
        <v>1268</v>
      </c>
      <c r="I3" s="457"/>
      <c r="K3" t="s">
        <v>1471</v>
      </c>
    </row>
    <row r="4" spans="2:27" x14ac:dyDescent="0.25">
      <c r="E4" s="115" t="s">
        <v>966</v>
      </c>
      <c r="F4" s="115" t="s">
        <v>1265</v>
      </c>
      <c r="G4" s="115"/>
      <c r="H4" s="115" t="s">
        <v>1038</v>
      </c>
      <c r="I4" s="74">
        <v>150000</v>
      </c>
      <c r="K4" t="s">
        <v>1472</v>
      </c>
      <c r="L4" t="s">
        <v>1473</v>
      </c>
      <c r="U4" t="s">
        <v>1477</v>
      </c>
      <c r="V4" s="126" t="s">
        <v>1478</v>
      </c>
      <c r="W4" s="126" t="s">
        <v>1479</v>
      </c>
      <c r="X4" s="126" t="s">
        <v>1480</v>
      </c>
      <c r="Y4" s="126" t="s">
        <v>1481</v>
      </c>
      <c r="Z4" s="126" t="s">
        <v>1482</v>
      </c>
      <c r="AA4" s="126" t="s">
        <v>1483</v>
      </c>
    </row>
    <row r="5" spans="2:27" x14ac:dyDescent="0.25">
      <c r="D5" t="s">
        <v>966</v>
      </c>
      <c r="E5" s="241" t="s">
        <v>876</v>
      </c>
      <c r="F5" s="242">
        <v>100000</v>
      </c>
      <c r="G5" s="115"/>
      <c r="H5" s="115" t="s">
        <v>1038</v>
      </c>
      <c r="I5" s="74">
        <v>150000</v>
      </c>
      <c r="J5" s="115"/>
      <c r="K5" t="s">
        <v>1474</v>
      </c>
      <c r="T5" t="s">
        <v>1484</v>
      </c>
      <c r="U5" s="363">
        <v>50000</v>
      </c>
      <c r="V5" s="363">
        <v>50000</v>
      </c>
      <c r="W5" s="363">
        <v>50000</v>
      </c>
      <c r="X5" s="363">
        <v>50000</v>
      </c>
      <c r="Y5" s="363">
        <v>50000</v>
      </c>
      <c r="Z5" s="363">
        <v>50000</v>
      </c>
      <c r="AA5" s="363">
        <v>50000</v>
      </c>
    </row>
    <row r="6" spans="2:27" x14ac:dyDescent="0.25">
      <c r="D6" t="s">
        <v>966</v>
      </c>
      <c r="E6" s="241"/>
      <c r="F6" s="242"/>
      <c r="G6" s="115"/>
      <c r="H6" s="115" t="s">
        <v>1038</v>
      </c>
      <c r="I6" s="74">
        <v>150000</v>
      </c>
      <c r="T6" t="s">
        <v>1485</v>
      </c>
      <c r="U6" s="363">
        <v>20000</v>
      </c>
      <c r="V6" s="363">
        <v>20000</v>
      </c>
      <c r="W6" s="363">
        <v>20000</v>
      </c>
      <c r="X6" s="363">
        <v>20000</v>
      </c>
      <c r="Y6" s="363">
        <v>20000</v>
      </c>
      <c r="Z6" s="363">
        <v>20000</v>
      </c>
      <c r="AA6" s="363">
        <v>20000</v>
      </c>
    </row>
    <row r="7" spans="2:27" s="126" customFormat="1" x14ac:dyDescent="0.25">
      <c r="D7" s="126" t="s">
        <v>966</v>
      </c>
      <c r="E7" s="241"/>
      <c r="F7" s="242"/>
      <c r="G7" s="115"/>
      <c r="H7" s="115" t="s">
        <v>1038</v>
      </c>
      <c r="I7" s="74">
        <v>150000</v>
      </c>
      <c r="T7" s="126" t="s">
        <v>1486</v>
      </c>
      <c r="U7" s="363">
        <v>10000</v>
      </c>
      <c r="V7" s="363">
        <v>10000</v>
      </c>
      <c r="W7" s="363">
        <v>10000</v>
      </c>
      <c r="X7" s="363">
        <v>10000</v>
      </c>
      <c r="Y7" s="363">
        <v>10000</v>
      </c>
      <c r="Z7" s="363">
        <v>10000</v>
      </c>
      <c r="AA7" s="363">
        <v>10000</v>
      </c>
    </row>
    <row r="8" spans="2:27" ht="17.25" x14ac:dyDescent="0.4">
      <c r="B8" s="458" t="s">
        <v>1273</v>
      </c>
      <c r="C8" s="458"/>
      <c r="D8" t="s">
        <v>1267</v>
      </c>
      <c r="E8" s="245" t="s">
        <v>1263</v>
      </c>
      <c r="F8" s="246">
        <v>750000</v>
      </c>
      <c r="G8" s="115"/>
      <c r="H8" s="115" t="s">
        <v>1010</v>
      </c>
      <c r="I8" s="74">
        <v>3000000</v>
      </c>
      <c r="U8" s="363">
        <f>U5+U6+U7</f>
        <v>80000</v>
      </c>
      <c r="V8" s="363">
        <f t="shared" ref="V8:AA8" si="0">V5+V6+V7</f>
        <v>80000</v>
      </c>
      <c r="W8" s="363">
        <f t="shared" si="0"/>
        <v>80000</v>
      </c>
      <c r="X8" s="363">
        <f t="shared" si="0"/>
        <v>80000</v>
      </c>
      <c r="Y8" s="363">
        <f t="shared" si="0"/>
        <v>80000</v>
      </c>
      <c r="Z8" s="363">
        <f t="shared" si="0"/>
        <v>80000</v>
      </c>
      <c r="AA8" s="363">
        <f t="shared" si="0"/>
        <v>80000</v>
      </c>
    </row>
    <row r="9" spans="2:27" s="126" customFormat="1" ht="17.25" x14ac:dyDescent="0.4">
      <c r="B9" s="458"/>
      <c r="C9" s="458"/>
      <c r="E9" s="245"/>
      <c r="F9" s="246"/>
      <c r="G9" s="115"/>
      <c r="H9" s="115"/>
      <c r="I9" s="74"/>
    </row>
    <row r="10" spans="2:27" ht="17.25" x14ac:dyDescent="0.4">
      <c r="B10" s="458"/>
      <c r="C10" s="458"/>
      <c r="D10" t="s">
        <v>1267</v>
      </c>
      <c r="E10" s="245" t="s">
        <v>1264</v>
      </c>
      <c r="F10" s="246">
        <v>250000</v>
      </c>
      <c r="G10" s="115"/>
      <c r="H10" s="115" t="s">
        <v>1269</v>
      </c>
      <c r="I10" s="74">
        <f>SUM(I4:I8)</f>
        <v>3600000</v>
      </c>
    </row>
    <row r="11" spans="2:27" x14ac:dyDescent="0.25">
      <c r="D11" s="166" t="s">
        <v>880</v>
      </c>
      <c r="E11" s="243" t="s">
        <v>1266</v>
      </c>
      <c r="F11" s="244">
        <f>F5+F6+F7+F8+F10</f>
        <v>1100000</v>
      </c>
      <c r="G11" s="115"/>
      <c r="H11" s="115" t="s">
        <v>1272</v>
      </c>
    </row>
    <row r="14" spans="2:27" s="126" customFormat="1" x14ac:dyDescent="0.25"/>
    <row r="15" spans="2:27" s="126" customFormat="1" x14ac:dyDescent="0.25"/>
    <row r="16" spans="2:27" s="126" customFormat="1" x14ac:dyDescent="0.25"/>
    <row r="17" spans="2:6" x14ac:dyDescent="0.25">
      <c r="E17" s="115" t="s">
        <v>966</v>
      </c>
      <c r="F17" s="115" t="s">
        <v>1271</v>
      </c>
    </row>
    <row r="18" spans="2:6" x14ac:dyDescent="0.25">
      <c r="D18" t="s">
        <v>966</v>
      </c>
      <c r="E18" t="s">
        <v>1270</v>
      </c>
    </row>
    <row r="19" spans="2:6" x14ac:dyDescent="0.25">
      <c r="D19" t="s">
        <v>1267</v>
      </c>
      <c r="E19" t="s">
        <v>1263</v>
      </c>
    </row>
    <row r="23" spans="2:6" x14ac:dyDescent="0.25">
      <c r="B23" s="126"/>
      <c r="C23" s="126"/>
      <c r="D23" s="126"/>
      <c r="E23" s="456" t="s">
        <v>1279</v>
      </c>
      <c r="F23" s="456"/>
    </row>
    <row r="24" spans="2:6" x14ac:dyDescent="0.25">
      <c r="B24" s="126"/>
      <c r="C24" s="126"/>
      <c r="D24" s="126"/>
      <c r="E24" s="115" t="s">
        <v>966</v>
      </c>
      <c r="F24" s="115" t="s">
        <v>1265</v>
      </c>
    </row>
    <row r="25" spans="2:6" x14ac:dyDescent="0.25">
      <c r="B25" s="126"/>
      <c r="C25" s="126"/>
      <c r="D25" s="126" t="s">
        <v>966</v>
      </c>
      <c r="E25" s="241" t="s">
        <v>876</v>
      </c>
      <c r="F25" s="242">
        <v>100000</v>
      </c>
    </row>
    <row r="26" spans="2:6" x14ac:dyDescent="0.25">
      <c r="B26" s="126"/>
      <c r="C26" s="126"/>
      <c r="D26" s="126" t="s">
        <v>966</v>
      </c>
      <c r="E26" s="241" t="s">
        <v>1262</v>
      </c>
      <c r="F26" s="242">
        <v>150000</v>
      </c>
    </row>
    <row r="27" spans="2:6" x14ac:dyDescent="0.25">
      <c r="B27" s="126"/>
      <c r="C27" s="126"/>
      <c r="D27" s="126" t="s">
        <v>966</v>
      </c>
      <c r="E27" s="241" t="s">
        <v>967</v>
      </c>
      <c r="F27" s="242">
        <v>150000</v>
      </c>
    </row>
    <row r="28" spans="2:6" ht="17.25" x14ac:dyDescent="0.4">
      <c r="B28" s="458" t="s">
        <v>1273</v>
      </c>
      <c r="C28" s="458"/>
      <c r="D28" s="126" t="s">
        <v>1267</v>
      </c>
      <c r="E28" s="245" t="s">
        <v>1263</v>
      </c>
      <c r="F28" s="246">
        <v>750000</v>
      </c>
    </row>
    <row r="29" spans="2:6" ht="17.25" x14ac:dyDescent="0.4">
      <c r="B29" s="458"/>
      <c r="C29" s="458"/>
      <c r="D29" s="126" t="s">
        <v>1267</v>
      </c>
      <c r="E29" s="245" t="s">
        <v>1264</v>
      </c>
      <c r="F29" s="246">
        <v>250000</v>
      </c>
    </row>
    <row r="30" spans="2:6" s="126" customFormat="1" ht="17.25" x14ac:dyDescent="0.4">
      <c r="B30" s="247"/>
      <c r="C30" s="247"/>
      <c r="D30" s="126" t="s">
        <v>1267</v>
      </c>
      <c r="E30" s="248" t="s">
        <v>1274</v>
      </c>
      <c r="F30" s="249">
        <v>150</v>
      </c>
    </row>
    <row r="31" spans="2:6" s="126" customFormat="1" ht="17.25" x14ac:dyDescent="0.4">
      <c r="B31" s="247"/>
      <c r="C31" s="247"/>
      <c r="D31" s="126" t="s">
        <v>1267</v>
      </c>
      <c r="E31" s="248" t="s">
        <v>1275</v>
      </c>
      <c r="F31" s="249">
        <v>150</v>
      </c>
    </row>
    <row r="32" spans="2:6" s="126" customFormat="1" ht="17.25" x14ac:dyDescent="0.4">
      <c r="B32" s="247"/>
      <c r="C32" s="247"/>
      <c r="D32" s="126" t="s">
        <v>1267</v>
      </c>
      <c r="E32" s="248" t="s">
        <v>1276</v>
      </c>
      <c r="F32" s="249">
        <v>150</v>
      </c>
    </row>
    <row r="33" spans="2:6" s="126" customFormat="1" ht="17.25" x14ac:dyDescent="0.4">
      <c r="B33" s="247"/>
      <c r="C33" s="247"/>
      <c r="D33" s="126" t="s">
        <v>1267</v>
      </c>
      <c r="E33" s="248" t="s">
        <v>1277</v>
      </c>
      <c r="F33" s="249">
        <v>150</v>
      </c>
    </row>
    <row r="34" spans="2:6" s="126" customFormat="1" ht="17.25" x14ac:dyDescent="0.4">
      <c r="B34" s="247"/>
      <c r="C34" s="247"/>
      <c r="D34" s="126" t="s">
        <v>1267</v>
      </c>
      <c r="E34" s="248" t="s">
        <v>1280</v>
      </c>
      <c r="F34" s="249">
        <v>150</v>
      </c>
    </row>
    <row r="35" spans="2:6" s="126" customFormat="1" ht="17.25" x14ac:dyDescent="0.4">
      <c r="B35" s="247"/>
      <c r="C35" s="247"/>
      <c r="D35" s="126" t="s">
        <v>1267</v>
      </c>
      <c r="E35" s="248" t="s">
        <v>1291</v>
      </c>
      <c r="F35" s="249">
        <v>1500</v>
      </c>
    </row>
    <row r="36" spans="2:6" x14ac:dyDescent="0.25">
      <c r="B36" s="126"/>
      <c r="C36" s="126"/>
      <c r="D36" s="166" t="s">
        <v>880</v>
      </c>
      <c r="E36" s="243" t="s">
        <v>1266</v>
      </c>
      <c r="F36" s="244">
        <f>F25+F26+F27+F28+F29</f>
        <v>1400000</v>
      </c>
    </row>
    <row r="37" spans="2:6" x14ac:dyDescent="0.25">
      <c r="B37" s="126"/>
      <c r="C37" s="126"/>
      <c r="D37" s="126"/>
      <c r="E37" s="126"/>
      <c r="F37" s="126"/>
    </row>
    <row r="38" spans="2:6" x14ac:dyDescent="0.25">
      <c r="D38" t="s">
        <v>1278</v>
      </c>
    </row>
  </sheetData>
  <mergeCells count="5">
    <mergeCell ref="E3:F3"/>
    <mergeCell ref="H3:I3"/>
    <mergeCell ref="B8:C10"/>
    <mergeCell ref="E23:F23"/>
    <mergeCell ref="B28:C29"/>
  </mergeCells>
  <pageMargins left="0.7" right="0.7" top="0.75" bottom="0.75" header="0.3" footer="0.3"/>
  <pageSetup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90"/>
  <sheetViews>
    <sheetView showGridLines="0" zoomScaleNormal="100" workbookViewId="0">
      <selection activeCell="O1" sqref="O1"/>
    </sheetView>
  </sheetViews>
  <sheetFormatPr baseColWidth="10" defaultRowHeight="15" x14ac:dyDescent="0.25"/>
  <cols>
    <col min="1" max="1" width="30.7109375" style="126" customWidth="1"/>
    <col min="2" max="2" width="24.85546875" style="126" customWidth="1"/>
    <col min="3" max="3" width="30.42578125" style="126" customWidth="1"/>
    <col min="4" max="4" width="11.42578125" style="126" customWidth="1"/>
    <col min="5" max="5" width="28.7109375" style="126" customWidth="1"/>
    <col min="6" max="6" width="11.42578125" style="126" customWidth="1"/>
    <col min="7" max="7" width="17.85546875" style="126" customWidth="1"/>
    <col min="8" max="8" width="30.28515625" style="126" customWidth="1"/>
    <col min="9" max="9" width="36.5703125" style="126" customWidth="1"/>
    <col min="10" max="10" width="11.42578125" style="126"/>
    <col min="11" max="11" width="16.85546875" style="126" customWidth="1"/>
    <col min="12" max="12" width="24.28515625" style="126" customWidth="1"/>
    <col min="13" max="13" width="7.42578125" style="126" customWidth="1"/>
    <col min="14" max="14" width="4.42578125" style="126" customWidth="1"/>
    <col min="15" max="15" width="28.5703125" style="126" customWidth="1"/>
    <col min="16" max="16" width="14.5703125" style="126" bestFit="1" customWidth="1"/>
    <col min="17" max="16384" width="11.42578125" style="126"/>
  </cols>
  <sheetData>
    <row r="3" spans="1:25" ht="28.5" x14ac:dyDescent="0.45">
      <c r="D3" s="459" t="s">
        <v>1299</v>
      </c>
      <c r="E3" s="459"/>
      <c r="F3" s="459"/>
      <c r="G3" s="459"/>
      <c r="H3" s="459"/>
      <c r="I3" s="459"/>
      <c r="J3" s="459"/>
      <c r="K3" s="459"/>
      <c r="L3" s="459"/>
      <c r="O3" s="353">
        <v>900000</v>
      </c>
    </row>
    <row r="4" spans="1:25" x14ac:dyDescent="0.25">
      <c r="B4" s="126" t="s">
        <v>966</v>
      </c>
      <c r="D4" s="412" t="s">
        <v>966</v>
      </c>
      <c r="E4" s="412"/>
      <c r="J4" s="126" t="s">
        <v>1407</v>
      </c>
      <c r="O4" s="126" t="s">
        <v>1408</v>
      </c>
    </row>
    <row r="5" spans="1:25" x14ac:dyDescent="0.25">
      <c r="B5" s="460" t="s">
        <v>1409</v>
      </c>
      <c r="C5" s="460"/>
      <c r="D5" s="460" t="s">
        <v>1410</v>
      </c>
      <c r="E5" s="460"/>
      <c r="F5" s="460" t="s">
        <v>1411</v>
      </c>
      <c r="G5" s="460"/>
      <c r="H5" s="352" t="s">
        <v>1412</v>
      </c>
      <c r="I5" s="352" t="s">
        <v>1413</v>
      </c>
      <c r="J5" s="460" t="s">
        <v>1414</v>
      </c>
      <c r="K5" s="460"/>
      <c r="L5" s="460"/>
      <c r="M5" s="460" t="s">
        <v>1292</v>
      </c>
      <c r="N5" s="460"/>
      <c r="O5" s="460"/>
    </row>
    <row r="6" spans="1:25" ht="18.75" x14ac:dyDescent="0.3">
      <c r="A6" s="264" t="s">
        <v>1293</v>
      </c>
      <c r="B6" s="463">
        <v>10000</v>
      </c>
      <c r="C6" s="464"/>
      <c r="D6" s="463">
        <v>100000</v>
      </c>
      <c r="E6" s="464"/>
      <c r="F6" s="463">
        <v>25000</v>
      </c>
      <c r="G6" s="464"/>
      <c r="H6" s="276">
        <v>50000</v>
      </c>
      <c r="I6" s="354">
        <v>100000</v>
      </c>
      <c r="J6" s="471">
        <v>100000</v>
      </c>
      <c r="K6" s="472"/>
      <c r="L6" s="473"/>
      <c r="M6" s="471">
        <v>50000</v>
      </c>
      <c r="N6" s="472"/>
      <c r="O6" s="473"/>
      <c r="P6" s="126" t="s">
        <v>1415</v>
      </c>
    </row>
    <row r="7" spans="1:25" ht="18.75" x14ac:dyDescent="0.3">
      <c r="A7" s="275" t="s">
        <v>109</v>
      </c>
      <c r="B7" s="266"/>
      <c r="C7" s="267">
        <f>B6*16%</f>
        <v>1600</v>
      </c>
      <c r="D7" s="266"/>
      <c r="E7" s="267">
        <f>D6*16%</f>
        <v>16000</v>
      </c>
      <c r="F7" s="482">
        <f>F6*16%</f>
        <v>4000</v>
      </c>
      <c r="G7" s="483"/>
      <c r="H7" s="265">
        <v>0</v>
      </c>
      <c r="I7" s="355">
        <f>I6*0.16</f>
        <v>16000</v>
      </c>
      <c r="J7" s="268"/>
      <c r="K7" s="269"/>
      <c r="L7" s="270" t="s">
        <v>1416</v>
      </c>
      <c r="M7" s="471">
        <v>0</v>
      </c>
      <c r="N7" s="472"/>
      <c r="O7" s="473"/>
      <c r="P7" s="75">
        <v>0</v>
      </c>
    </row>
    <row r="8" spans="1:25" ht="18.75" x14ac:dyDescent="0.3">
      <c r="A8" s="264" t="s">
        <v>1294</v>
      </c>
      <c r="B8" s="268"/>
      <c r="C8" s="356"/>
      <c r="D8" s="268"/>
      <c r="E8" s="356"/>
      <c r="F8" s="268"/>
      <c r="G8" s="271"/>
      <c r="H8" s="272"/>
      <c r="I8" s="268"/>
      <c r="J8" s="268"/>
      <c r="K8" s="269"/>
      <c r="L8" s="271"/>
      <c r="M8" s="268"/>
      <c r="N8" s="269"/>
      <c r="O8" s="271"/>
      <c r="P8" s="126" t="s">
        <v>1417</v>
      </c>
    </row>
    <row r="9" spans="1:25" ht="26.25" x14ac:dyDescent="0.4">
      <c r="A9" s="264" t="s">
        <v>1295</v>
      </c>
      <c r="B9" s="474">
        <f>B6*1.25%</f>
        <v>125</v>
      </c>
      <c r="C9" s="475"/>
      <c r="D9" s="476">
        <f>D6*1.25%</f>
        <v>1250</v>
      </c>
      <c r="E9" s="477"/>
      <c r="F9" s="461">
        <f>F6*1.25%</f>
        <v>312.5</v>
      </c>
      <c r="G9" s="462"/>
      <c r="H9" s="357">
        <f>H6*1.25%</f>
        <v>625</v>
      </c>
      <c r="I9" s="358">
        <f>I6*1.25%</f>
        <v>1250</v>
      </c>
      <c r="J9" s="463">
        <f>J6*1.25%</f>
        <v>1250</v>
      </c>
      <c r="K9" s="478"/>
      <c r="L9" s="464"/>
      <c r="M9" s="463">
        <v>0</v>
      </c>
      <c r="N9" s="478"/>
      <c r="O9" s="464"/>
      <c r="P9" s="126" t="s">
        <v>1418</v>
      </c>
    </row>
    <row r="10" spans="1:25" ht="26.25" x14ac:dyDescent="0.4">
      <c r="A10" s="264" t="s">
        <v>1296</v>
      </c>
      <c r="B10" s="465">
        <v>0</v>
      </c>
      <c r="C10" s="466"/>
      <c r="D10" s="467">
        <f>E7/3*2</f>
        <v>10666.666666666666</v>
      </c>
      <c r="E10" s="468"/>
      <c r="F10" s="486">
        <f>F7/3*2</f>
        <v>2666.6666666666665</v>
      </c>
      <c r="G10" s="487"/>
      <c r="H10" s="359" t="s">
        <v>1419</v>
      </c>
      <c r="I10" s="360">
        <f>I7/3*2</f>
        <v>10666.666666666666</v>
      </c>
      <c r="J10" s="482"/>
      <c r="K10" s="488"/>
      <c r="L10" s="489"/>
      <c r="M10" s="268"/>
      <c r="N10" s="269"/>
      <c r="O10" s="273">
        <v>0</v>
      </c>
      <c r="P10" s="479" t="s">
        <v>1420</v>
      </c>
      <c r="Q10" s="480"/>
      <c r="R10" s="480"/>
      <c r="S10" s="480"/>
      <c r="T10" s="480"/>
      <c r="U10" s="480"/>
      <c r="V10" s="480"/>
    </row>
    <row r="11" spans="1:25" ht="18.75" x14ac:dyDescent="0.3">
      <c r="A11" s="263"/>
      <c r="B11" s="268"/>
      <c r="C11" s="271"/>
      <c r="D11" s="268"/>
      <c r="E11" s="271"/>
      <c r="F11" s="268"/>
      <c r="G11" s="271"/>
      <c r="H11" s="272"/>
      <c r="I11" s="268"/>
      <c r="J11" s="268"/>
      <c r="K11" s="269"/>
      <c r="L11" s="271"/>
      <c r="M11" s="268"/>
      <c r="N11" s="269"/>
      <c r="O11" s="271"/>
      <c r="P11" s="479"/>
      <c r="Q11" s="480"/>
      <c r="R11" s="480"/>
      <c r="S11" s="480"/>
      <c r="T11" s="480"/>
      <c r="U11" s="480"/>
      <c r="V11" s="480"/>
    </row>
    <row r="12" spans="1:25" ht="18.75" x14ac:dyDescent="0.3">
      <c r="A12" s="264" t="s">
        <v>1297</v>
      </c>
      <c r="B12" s="469">
        <v>12000</v>
      </c>
      <c r="C12" s="470"/>
      <c r="D12" s="469">
        <f>D6+E7-D9-D10-E8</f>
        <v>104083.33333333333</v>
      </c>
      <c r="E12" s="470"/>
      <c r="F12" s="469">
        <f>F6+F7-F9-F10</f>
        <v>26020.833333333332</v>
      </c>
      <c r="G12" s="470"/>
      <c r="H12" s="274">
        <f>H6-H9</f>
        <v>49375</v>
      </c>
      <c r="I12" s="361"/>
      <c r="J12" s="469" t="e">
        <f>J6+L7-J9-J10</f>
        <v>#VALUE!</v>
      </c>
      <c r="K12" s="481"/>
      <c r="L12" s="470"/>
      <c r="M12" s="469">
        <f>M6-M9</f>
        <v>50000</v>
      </c>
      <c r="N12" s="481"/>
      <c r="O12" s="470"/>
      <c r="P12" s="479"/>
      <c r="Q12" s="480"/>
      <c r="R12" s="480"/>
      <c r="S12" s="480"/>
      <c r="T12" s="480"/>
      <c r="U12" s="480"/>
      <c r="V12" s="480"/>
    </row>
    <row r="13" spans="1:25" x14ac:dyDescent="0.25">
      <c r="P13" s="368" t="s">
        <v>1301</v>
      </c>
      <c r="Q13" s="363">
        <v>900000</v>
      </c>
      <c r="R13" s="126" t="s">
        <v>1498</v>
      </c>
    </row>
    <row r="14" spans="1:25" x14ac:dyDescent="0.25">
      <c r="P14" s="126" t="s">
        <v>1421</v>
      </c>
      <c r="Q14" s="126" t="s">
        <v>4</v>
      </c>
      <c r="R14" s="126" t="s">
        <v>5</v>
      </c>
      <c r="S14" s="211">
        <v>44676</v>
      </c>
      <c r="T14" s="362">
        <v>44677</v>
      </c>
      <c r="U14" s="126" t="s">
        <v>7</v>
      </c>
      <c r="V14" s="126" t="s">
        <v>8</v>
      </c>
      <c r="W14" s="126" t="s">
        <v>9</v>
      </c>
      <c r="X14" s="126" t="s">
        <v>10</v>
      </c>
    </row>
    <row r="15" spans="1:25" x14ac:dyDescent="0.25">
      <c r="O15" s="126" t="s">
        <v>1422</v>
      </c>
      <c r="P15" s="363">
        <v>50000</v>
      </c>
      <c r="Q15" s="363">
        <v>50000</v>
      </c>
      <c r="R15" s="363">
        <v>50000</v>
      </c>
      <c r="S15" s="363">
        <v>10000</v>
      </c>
      <c r="T15" s="363">
        <v>10000</v>
      </c>
      <c r="U15" s="363">
        <v>300000</v>
      </c>
      <c r="V15" s="363">
        <v>200000</v>
      </c>
      <c r="W15" s="363">
        <v>200000</v>
      </c>
      <c r="X15" s="392">
        <v>100000</v>
      </c>
      <c r="Y15" s="363">
        <f>SUM(P15:X15)</f>
        <v>970000</v>
      </c>
    </row>
    <row r="16" spans="1:25" ht="15" customHeight="1" x14ac:dyDescent="0.25">
      <c r="D16" s="484" t="s">
        <v>1298</v>
      </c>
      <c r="E16" s="484"/>
      <c r="F16" s="484"/>
      <c r="G16" s="484"/>
      <c r="H16" s="484"/>
      <c r="I16" s="484"/>
      <c r="J16" s="484"/>
      <c r="K16" s="484"/>
      <c r="L16" s="484"/>
      <c r="M16" s="484"/>
      <c r="P16" s="82">
        <v>1.2500000000000001E-2</v>
      </c>
      <c r="Q16" s="82">
        <v>1.2500000000000001E-2</v>
      </c>
      <c r="R16" s="82">
        <v>1.2500000000000001E-2</v>
      </c>
      <c r="S16" s="82">
        <v>1.2500000000000001E-2</v>
      </c>
      <c r="T16" s="75">
        <v>0</v>
      </c>
      <c r="U16" s="82">
        <v>0</v>
      </c>
      <c r="V16" s="82">
        <v>0</v>
      </c>
      <c r="W16" s="82">
        <v>0</v>
      </c>
      <c r="X16" s="126">
        <f>X15*1.25%</f>
        <v>1250</v>
      </c>
    </row>
    <row r="17" spans="4:20" x14ac:dyDescent="0.25">
      <c r="D17" s="484"/>
      <c r="E17" s="484"/>
      <c r="F17" s="484"/>
      <c r="G17" s="484"/>
      <c r="H17" s="484"/>
      <c r="I17" s="484"/>
      <c r="J17" s="484"/>
      <c r="K17" s="484"/>
      <c r="L17" s="484"/>
      <c r="M17" s="484"/>
      <c r="O17" s="126" t="s">
        <v>1423</v>
      </c>
      <c r="P17" s="74">
        <f>P15*P16</f>
        <v>625</v>
      </c>
      <c r="Q17" s="74">
        <f t="shared" ref="Q17:S17" si="0">Q15*Q16</f>
        <v>625</v>
      </c>
      <c r="R17" s="74">
        <f t="shared" si="0"/>
        <v>625</v>
      </c>
      <c r="S17" s="74">
        <f t="shared" si="0"/>
        <v>125</v>
      </c>
      <c r="T17" s="74">
        <f>T15*T16</f>
        <v>0</v>
      </c>
    </row>
    <row r="18" spans="4:20" x14ac:dyDescent="0.25">
      <c r="D18" s="484"/>
      <c r="E18" s="484"/>
      <c r="F18" s="484"/>
      <c r="G18" s="484"/>
      <c r="H18" s="484"/>
      <c r="I18" s="484"/>
      <c r="J18" s="484"/>
      <c r="K18" s="484"/>
      <c r="L18" s="484"/>
      <c r="M18" s="484"/>
    </row>
    <row r="19" spans="4:20" x14ac:dyDescent="0.25">
      <c r="D19" s="484"/>
      <c r="E19" s="484"/>
      <c r="F19" s="484"/>
      <c r="G19" s="484"/>
      <c r="H19" s="484"/>
      <c r="I19" s="484"/>
      <c r="J19" s="484"/>
      <c r="K19" s="484"/>
      <c r="L19" s="484"/>
      <c r="M19" s="484"/>
    </row>
    <row r="20" spans="4:20" x14ac:dyDescent="0.25">
      <c r="D20" s="484"/>
      <c r="E20" s="484"/>
      <c r="F20" s="484"/>
      <c r="G20" s="484"/>
      <c r="H20" s="484"/>
      <c r="I20" s="484"/>
      <c r="J20" s="484"/>
      <c r="K20" s="484"/>
      <c r="L20" s="484"/>
      <c r="M20" s="484"/>
    </row>
    <row r="22" spans="4:20" x14ac:dyDescent="0.25">
      <c r="D22" s="411" t="s">
        <v>1300</v>
      </c>
      <c r="E22" s="411"/>
      <c r="F22" s="411"/>
      <c r="G22" s="411"/>
      <c r="H22" s="411"/>
      <c r="I22" s="411"/>
      <c r="J22" s="411"/>
      <c r="K22" s="411"/>
      <c r="L22" s="411"/>
      <c r="M22" s="411"/>
    </row>
    <row r="23" spans="4:20" x14ac:dyDescent="0.25">
      <c r="D23" s="411"/>
      <c r="E23" s="411"/>
      <c r="F23" s="411"/>
      <c r="G23" s="411"/>
      <c r="H23" s="411"/>
      <c r="I23" s="411"/>
      <c r="J23" s="411"/>
      <c r="K23" s="411"/>
      <c r="L23" s="411"/>
      <c r="M23" s="411"/>
    </row>
    <row r="24" spans="4:20" x14ac:dyDescent="0.25">
      <c r="D24" s="411"/>
      <c r="E24" s="411"/>
      <c r="F24" s="411"/>
      <c r="G24" s="411"/>
      <c r="H24" s="411"/>
      <c r="I24" s="411"/>
      <c r="J24" s="411"/>
      <c r="K24" s="411"/>
      <c r="L24" s="411"/>
      <c r="M24" s="411"/>
    </row>
    <row r="25" spans="4:20" x14ac:dyDescent="0.25">
      <c r="D25" s="411"/>
      <c r="E25" s="411"/>
      <c r="F25" s="411"/>
      <c r="G25" s="411"/>
      <c r="H25" s="411"/>
      <c r="I25" s="411"/>
      <c r="J25" s="411"/>
      <c r="K25" s="411"/>
      <c r="L25" s="411"/>
      <c r="M25" s="411"/>
    </row>
    <row r="26" spans="4:20" x14ac:dyDescent="0.25">
      <c r="D26" s="485"/>
      <c r="E26" s="409"/>
      <c r="F26" s="409"/>
      <c r="G26" s="409"/>
      <c r="H26" s="409"/>
      <c r="I26" s="409"/>
      <c r="J26" s="409"/>
      <c r="K26" s="409"/>
      <c r="L26" s="409"/>
    </row>
    <row r="27" spans="4:20" x14ac:dyDescent="0.25">
      <c r="D27" s="409"/>
      <c r="E27" s="409"/>
      <c r="F27" s="409"/>
      <c r="G27" s="409"/>
      <c r="H27" s="409"/>
      <c r="I27" s="409"/>
      <c r="J27" s="409"/>
      <c r="K27" s="409"/>
      <c r="L27" s="409"/>
    </row>
    <row r="28" spans="4:20" x14ac:dyDescent="0.25">
      <c r="D28" s="409"/>
      <c r="E28" s="409"/>
      <c r="F28" s="409"/>
      <c r="G28" s="409"/>
      <c r="H28" s="409"/>
      <c r="I28" s="409"/>
      <c r="J28" s="409"/>
      <c r="K28" s="409"/>
      <c r="L28" s="409"/>
    </row>
    <row r="29" spans="4:20" x14ac:dyDescent="0.25">
      <c r="D29" s="409"/>
      <c r="E29" s="409"/>
      <c r="F29" s="409"/>
      <c r="G29" s="409"/>
      <c r="H29" s="409"/>
      <c r="I29" s="409"/>
      <c r="J29" s="409"/>
      <c r="K29" s="409"/>
      <c r="L29" s="409"/>
    </row>
    <row r="30" spans="4:20" x14ac:dyDescent="0.25">
      <c r="D30" s="409"/>
      <c r="E30" s="409"/>
      <c r="F30" s="409"/>
      <c r="G30" s="409"/>
      <c r="H30" s="409"/>
      <c r="I30" s="409"/>
      <c r="J30" s="409"/>
      <c r="K30" s="409"/>
      <c r="L30" s="409"/>
    </row>
    <row r="47" spans="5:17" x14ac:dyDescent="0.25">
      <c r="E47" s="126" t="s">
        <v>1424</v>
      </c>
      <c r="H47" s="126">
        <v>2022</v>
      </c>
    </row>
    <row r="48" spans="5:17" x14ac:dyDescent="0.25">
      <c r="E48" s="126" t="s">
        <v>1421</v>
      </c>
      <c r="F48" s="364" t="s">
        <v>4</v>
      </c>
      <c r="G48" s="126" t="s">
        <v>5</v>
      </c>
      <c r="H48" s="364" t="s">
        <v>6</v>
      </c>
      <c r="I48" s="364"/>
      <c r="J48" s="126" t="s">
        <v>7</v>
      </c>
      <c r="K48" s="364" t="s">
        <v>8</v>
      </c>
      <c r="L48" s="126" t="s">
        <v>9</v>
      </c>
      <c r="M48" s="364" t="s">
        <v>10</v>
      </c>
      <c r="N48" s="126" t="s">
        <v>11</v>
      </c>
      <c r="O48" s="364" t="s">
        <v>12</v>
      </c>
      <c r="P48" s="126" t="s">
        <v>13</v>
      </c>
      <c r="Q48" s="364" t="s">
        <v>14</v>
      </c>
    </row>
    <row r="49" spans="1:17" x14ac:dyDescent="0.25">
      <c r="E49" s="317" t="s">
        <v>1425</v>
      </c>
      <c r="F49" s="317" t="s">
        <v>1425</v>
      </c>
      <c r="G49" s="317" t="s">
        <v>1425</v>
      </c>
      <c r="H49" s="317" t="s">
        <v>1425</v>
      </c>
      <c r="I49" s="317"/>
      <c r="J49" s="317" t="s">
        <v>1425</v>
      </c>
      <c r="K49" s="317" t="s">
        <v>1425</v>
      </c>
    </row>
    <row r="50" spans="1:17" x14ac:dyDescent="0.25">
      <c r="L50" s="226" t="s">
        <v>1426</v>
      </c>
      <c r="M50" s="226" t="s">
        <v>1426</v>
      </c>
      <c r="N50" s="226" t="s">
        <v>1426</v>
      </c>
      <c r="O50" s="226" t="s">
        <v>1426</v>
      </c>
      <c r="P50" s="226" t="s">
        <v>1426</v>
      </c>
      <c r="Q50" s="226" t="s">
        <v>1426</v>
      </c>
    </row>
    <row r="52" spans="1:17" x14ac:dyDescent="0.25">
      <c r="E52" s="126" t="s">
        <v>1427</v>
      </c>
    </row>
    <row r="53" spans="1:17" x14ac:dyDescent="0.25">
      <c r="E53" s="126" t="s">
        <v>1428</v>
      </c>
    </row>
    <row r="54" spans="1:17" x14ac:dyDescent="0.25">
      <c r="E54" s="126" t="s">
        <v>1429</v>
      </c>
    </row>
    <row r="55" spans="1:17" x14ac:dyDescent="0.25">
      <c r="E55" s="126" t="s">
        <v>1430</v>
      </c>
    </row>
    <row r="58" spans="1:17" x14ac:dyDescent="0.25">
      <c r="I58" s="126" t="s">
        <v>1431</v>
      </c>
      <c r="J58" s="126" t="s">
        <v>1432</v>
      </c>
    </row>
    <row r="59" spans="1:17" x14ac:dyDescent="0.25">
      <c r="A59" s="126" t="s">
        <v>1433</v>
      </c>
      <c r="I59" s="126" t="s">
        <v>1434</v>
      </c>
      <c r="J59" s="126" t="s">
        <v>1312</v>
      </c>
      <c r="K59" s="126" t="s">
        <v>1435</v>
      </c>
      <c r="L59" s="126" t="s">
        <v>417</v>
      </c>
      <c r="M59" s="363">
        <v>25000</v>
      </c>
    </row>
    <row r="60" spans="1:17" x14ac:dyDescent="0.25">
      <c r="A60" s="126" t="s">
        <v>1436</v>
      </c>
      <c r="I60" s="126" t="s">
        <v>1437</v>
      </c>
      <c r="J60" s="126" t="s">
        <v>1312</v>
      </c>
      <c r="K60" s="126" t="s">
        <v>1438</v>
      </c>
      <c r="L60" s="126" t="s">
        <v>417</v>
      </c>
      <c r="M60" s="363">
        <v>15000</v>
      </c>
    </row>
    <row r="61" spans="1:17" x14ac:dyDescent="0.25">
      <c r="A61" s="126" t="s">
        <v>1439</v>
      </c>
      <c r="M61" s="126" t="s">
        <v>1440</v>
      </c>
    </row>
    <row r="62" spans="1:17" x14ac:dyDescent="0.25">
      <c r="M62" s="126" t="s">
        <v>109</v>
      </c>
    </row>
    <row r="63" spans="1:17" x14ac:dyDescent="0.25">
      <c r="D63" s="126" t="s">
        <v>917</v>
      </c>
      <c r="F63" s="126" t="s">
        <v>1441</v>
      </c>
    </row>
    <row r="64" spans="1:17" x14ac:dyDescent="0.25">
      <c r="D64" s="126" t="s">
        <v>964</v>
      </c>
      <c r="F64" s="363" t="s">
        <v>1442</v>
      </c>
    </row>
    <row r="65" spans="2:7" x14ac:dyDescent="0.25">
      <c r="D65" s="126" t="s">
        <v>1443</v>
      </c>
      <c r="F65" s="363">
        <v>50000</v>
      </c>
    </row>
    <row r="66" spans="2:7" x14ac:dyDescent="0.25">
      <c r="D66" s="126" t="s">
        <v>918</v>
      </c>
    </row>
    <row r="67" spans="2:7" x14ac:dyDescent="0.25">
      <c r="D67" s="126" t="s">
        <v>1426</v>
      </c>
      <c r="F67" s="126">
        <v>0</v>
      </c>
      <c r="G67" s="363">
        <v>100000</v>
      </c>
    </row>
    <row r="68" spans="2:7" x14ac:dyDescent="0.25">
      <c r="G68" s="363">
        <f>F65</f>
        <v>50000</v>
      </c>
    </row>
    <row r="77" spans="2:7" x14ac:dyDescent="0.25">
      <c r="B77" s="126" t="s">
        <v>1444</v>
      </c>
      <c r="C77" s="126" t="s">
        <v>1445</v>
      </c>
    </row>
    <row r="78" spans="2:7" x14ac:dyDescent="0.25">
      <c r="B78" s="126" t="s">
        <v>1421</v>
      </c>
    </row>
    <row r="79" spans="2:7" x14ac:dyDescent="0.25">
      <c r="B79" s="363">
        <v>500000</v>
      </c>
    </row>
    <row r="80" spans="2:7" x14ac:dyDescent="0.25">
      <c r="B80" s="75">
        <v>0.1</v>
      </c>
    </row>
    <row r="81" spans="1:2" x14ac:dyDescent="0.25">
      <c r="A81" s="126" t="s">
        <v>1446</v>
      </c>
      <c r="B81" s="74">
        <f>B79*10%</f>
        <v>50000</v>
      </c>
    </row>
    <row r="82" spans="1:2" x14ac:dyDescent="0.25">
      <c r="A82" s="126" t="s">
        <v>1447</v>
      </c>
      <c r="B82" s="365">
        <f>B81*1.25%</f>
        <v>625</v>
      </c>
    </row>
    <row r="83" spans="1:2" x14ac:dyDescent="0.25">
      <c r="A83" s="126" t="s">
        <v>109</v>
      </c>
      <c r="B83" s="16">
        <f>B81*0.16</f>
        <v>8000</v>
      </c>
    </row>
    <row r="84" spans="1:2" x14ac:dyDescent="0.25">
      <c r="A84" s="126" t="s">
        <v>1448</v>
      </c>
      <c r="B84" s="365">
        <f>B83/3*2</f>
        <v>5333.333333333333</v>
      </c>
    </row>
    <row r="86" spans="1:2" x14ac:dyDescent="0.25">
      <c r="A86" s="126" t="s">
        <v>1449</v>
      </c>
    </row>
    <row r="87" spans="1:2" x14ac:dyDescent="0.25">
      <c r="A87" s="126" t="s">
        <v>1293</v>
      </c>
      <c r="B87" s="363">
        <v>1000000</v>
      </c>
    </row>
    <row r="88" spans="1:2" x14ac:dyDescent="0.25">
      <c r="A88" s="126" t="s">
        <v>1447</v>
      </c>
      <c r="B88" s="126">
        <f>B87*1.25%</f>
        <v>12500</v>
      </c>
    </row>
    <row r="89" spans="1:2" x14ac:dyDescent="0.25">
      <c r="A89" s="126" t="s">
        <v>109</v>
      </c>
      <c r="B89" s="126">
        <f>B87*0.16</f>
        <v>160000</v>
      </c>
    </row>
    <row r="90" spans="1:2" x14ac:dyDescent="0.25">
      <c r="A90" s="126" t="str">
        <f>A84</f>
        <v>2/3 IVA</v>
      </c>
      <c r="B90" s="126" t="s">
        <v>1450</v>
      </c>
    </row>
  </sheetData>
  <mergeCells count="32">
    <mergeCell ref="D16:M20"/>
    <mergeCell ref="D22:M25"/>
    <mergeCell ref="D26:L30"/>
    <mergeCell ref="M9:O9"/>
    <mergeCell ref="F10:G10"/>
    <mergeCell ref="J10:L10"/>
    <mergeCell ref="P10:V12"/>
    <mergeCell ref="F12:G12"/>
    <mergeCell ref="M12:O12"/>
    <mergeCell ref="M5:O5"/>
    <mergeCell ref="F6:G6"/>
    <mergeCell ref="M6:O6"/>
    <mergeCell ref="F7:G7"/>
    <mergeCell ref="M7:O7"/>
    <mergeCell ref="J12:L12"/>
    <mergeCell ref="B10:C10"/>
    <mergeCell ref="D10:E10"/>
    <mergeCell ref="B12:C12"/>
    <mergeCell ref="D12:E12"/>
    <mergeCell ref="J6:L6"/>
    <mergeCell ref="B9:C9"/>
    <mergeCell ref="D9:E9"/>
    <mergeCell ref="J9:L9"/>
    <mergeCell ref="D3:L3"/>
    <mergeCell ref="D4:E4"/>
    <mergeCell ref="F5:G5"/>
    <mergeCell ref="F9:G9"/>
    <mergeCell ref="B5:C5"/>
    <mergeCell ref="D5:E5"/>
    <mergeCell ref="J5:L5"/>
    <mergeCell ref="B6:C6"/>
    <mergeCell ref="D6:E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6"/>
  <sheetViews>
    <sheetView showGridLines="0" workbookViewId="0">
      <selection activeCell="E1" sqref="E1"/>
    </sheetView>
  </sheetViews>
  <sheetFormatPr baseColWidth="10" defaultRowHeight="15" x14ac:dyDescent="0.25"/>
  <cols>
    <col min="2" max="2" width="36.85546875" bestFit="1" customWidth="1"/>
    <col min="3" max="3" width="12.5703125" style="240" bestFit="1" customWidth="1"/>
    <col min="4" max="4" width="13" customWidth="1"/>
    <col min="5" max="5" width="14.140625" bestFit="1" customWidth="1"/>
  </cols>
  <sheetData>
    <row r="2" spans="2:13" x14ac:dyDescent="0.25">
      <c r="B2" s="485" t="s">
        <v>1315</v>
      </c>
      <c r="C2" s="485"/>
      <c r="D2" s="485"/>
      <c r="E2" s="485"/>
      <c r="G2" s="490" t="s">
        <v>1319</v>
      </c>
      <c r="H2" s="490"/>
      <c r="I2" s="490"/>
      <c r="J2" s="490"/>
      <c r="K2" s="490"/>
      <c r="L2" s="490"/>
      <c r="M2" s="490"/>
    </row>
    <row r="3" spans="2:13" s="126" customFormat="1" x14ac:dyDescent="0.25">
      <c r="B3" s="485"/>
      <c r="C3" s="485"/>
      <c r="D3" s="485"/>
      <c r="E3" s="485"/>
      <c r="G3" s="490"/>
      <c r="H3" s="490"/>
      <c r="I3" s="490"/>
      <c r="J3" s="490"/>
      <c r="K3" s="490"/>
      <c r="L3" s="490"/>
      <c r="M3" s="490"/>
    </row>
    <row r="4" spans="2:13" s="126" customFormat="1" x14ac:dyDescent="0.25">
      <c r="C4" s="240"/>
    </row>
    <row r="5" spans="2:13" ht="15" customHeight="1" x14ac:dyDescent="0.25">
      <c r="B5" t="s">
        <v>1301</v>
      </c>
      <c r="G5" s="491" t="s">
        <v>1306</v>
      </c>
      <c r="H5" s="491"/>
      <c r="I5" s="491"/>
      <c r="J5" s="491"/>
      <c r="K5" s="491"/>
      <c r="L5" s="491"/>
      <c r="M5" s="491"/>
    </row>
    <row r="6" spans="2:13" x14ac:dyDescent="0.25">
      <c r="C6" s="240" t="s">
        <v>1304</v>
      </c>
      <c r="E6" t="s">
        <v>1303</v>
      </c>
      <c r="G6" s="491"/>
      <c r="H6" s="491"/>
      <c r="I6" s="491"/>
      <c r="J6" s="491"/>
      <c r="K6" s="491"/>
      <c r="L6" s="491"/>
      <c r="M6" s="491"/>
    </row>
    <row r="7" spans="2:13" x14ac:dyDescent="0.25">
      <c r="B7" t="s">
        <v>1302</v>
      </c>
      <c r="C7" s="27">
        <v>850000</v>
      </c>
      <c r="D7" s="75">
        <v>1</v>
      </c>
      <c r="E7" s="74">
        <v>1500000</v>
      </c>
      <c r="G7" s="491"/>
      <c r="H7" s="491"/>
      <c r="I7" s="491"/>
      <c r="J7" s="491"/>
      <c r="K7" s="491"/>
      <c r="L7" s="491"/>
      <c r="M7" s="491"/>
    </row>
    <row r="8" spans="2:13" x14ac:dyDescent="0.25">
      <c r="B8" t="s">
        <v>1305</v>
      </c>
      <c r="C8" s="240">
        <v>0</v>
      </c>
      <c r="E8">
        <v>0</v>
      </c>
      <c r="G8" s="491"/>
      <c r="H8" s="491"/>
      <c r="I8" s="491"/>
      <c r="J8" s="491"/>
      <c r="K8" s="491"/>
      <c r="L8" s="491"/>
      <c r="M8" s="491"/>
    </row>
    <row r="9" spans="2:13" x14ac:dyDescent="0.25">
      <c r="B9" s="492" t="s">
        <v>1307</v>
      </c>
      <c r="C9" s="452" t="s">
        <v>1308</v>
      </c>
      <c r="D9" s="493">
        <v>1</v>
      </c>
      <c r="E9" s="452" t="s">
        <v>1309</v>
      </c>
      <c r="G9" s="491"/>
      <c r="H9" s="491"/>
      <c r="I9" s="491"/>
      <c r="J9" s="491"/>
      <c r="K9" s="491"/>
      <c r="L9" s="491"/>
      <c r="M9" s="491"/>
    </row>
    <row r="10" spans="2:13" x14ac:dyDescent="0.25">
      <c r="B10" s="492"/>
      <c r="C10" s="452"/>
      <c r="D10" s="452"/>
      <c r="E10" s="452"/>
      <c r="G10" s="491"/>
      <c r="H10" s="491"/>
      <c r="I10" s="491"/>
      <c r="J10" s="491"/>
      <c r="K10" s="491"/>
      <c r="L10" s="491"/>
      <c r="M10" s="491"/>
    </row>
    <row r="11" spans="2:13" x14ac:dyDescent="0.25">
      <c r="B11" t="s">
        <v>1310</v>
      </c>
      <c r="C11" s="277">
        <f>C7+C8</f>
        <v>850000</v>
      </c>
      <c r="E11" s="16">
        <f>E7+E8</f>
        <v>1500000</v>
      </c>
      <c r="G11" s="491"/>
      <c r="H11" s="491"/>
      <c r="I11" s="491"/>
      <c r="J11" s="491"/>
      <c r="K11" s="491"/>
      <c r="L11" s="491"/>
      <c r="M11" s="491"/>
    </row>
    <row r="12" spans="2:13" x14ac:dyDescent="0.25">
      <c r="B12" t="s">
        <v>1311</v>
      </c>
      <c r="C12" s="240" t="s">
        <v>1312</v>
      </c>
      <c r="E12" t="s">
        <v>1309</v>
      </c>
      <c r="G12" s="491"/>
      <c r="H12" s="491"/>
      <c r="I12" s="491"/>
      <c r="J12" s="491"/>
      <c r="K12" s="491"/>
      <c r="L12" s="491"/>
      <c r="M12" s="491"/>
    </row>
    <row r="13" spans="2:13" x14ac:dyDescent="0.25">
      <c r="B13" t="s">
        <v>1316</v>
      </c>
      <c r="C13" s="279">
        <f>C11</f>
        <v>850000</v>
      </c>
      <c r="D13" s="278"/>
      <c r="E13">
        <v>0</v>
      </c>
      <c r="G13" s="491"/>
      <c r="H13" s="491"/>
      <c r="I13" s="491"/>
      <c r="J13" s="491"/>
      <c r="K13" s="491"/>
      <c r="L13" s="491"/>
      <c r="M13" s="491"/>
    </row>
    <row r="14" spans="2:13" ht="27.75" customHeight="1" x14ac:dyDescent="0.25">
      <c r="B14" t="s">
        <v>1317</v>
      </c>
      <c r="C14" s="280">
        <v>0</v>
      </c>
      <c r="D14" s="278"/>
      <c r="E14" s="171" t="e">
        <f>VLOOKUP(E11,'CONFIANZA A.'!#REF!,3,1)</f>
        <v>#REF!</v>
      </c>
      <c r="G14" s="491"/>
      <c r="H14" s="491"/>
      <c r="I14" s="491"/>
      <c r="J14" s="491"/>
      <c r="K14" s="491"/>
      <c r="L14" s="491"/>
      <c r="M14" s="491"/>
    </row>
    <row r="15" spans="2:13" x14ac:dyDescent="0.25">
      <c r="B15" t="s">
        <v>1318</v>
      </c>
      <c r="C15" s="27">
        <v>0</v>
      </c>
      <c r="E15" s="16" t="e">
        <f>E11*E14</f>
        <v>#REF!</v>
      </c>
      <c r="G15" s="491"/>
      <c r="H15" s="491"/>
      <c r="I15" s="491"/>
      <c r="J15" s="491"/>
      <c r="K15" s="491"/>
      <c r="L15" s="491"/>
      <c r="M15" s="491"/>
    </row>
    <row r="16" spans="2:13" x14ac:dyDescent="0.25">
      <c r="G16" s="491"/>
      <c r="H16" s="491"/>
      <c r="I16" s="491"/>
      <c r="J16" s="491"/>
      <c r="K16" s="491"/>
      <c r="L16" s="491"/>
      <c r="M16" s="491"/>
    </row>
    <row r="17" spans="7:13" x14ac:dyDescent="0.25">
      <c r="G17" s="491"/>
      <c r="H17" s="491"/>
      <c r="I17" s="491"/>
      <c r="J17" s="491"/>
      <c r="K17" s="491"/>
      <c r="L17" s="491"/>
      <c r="M17" s="491"/>
    </row>
    <row r="18" spans="7:13" x14ac:dyDescent="0.25">
      <c r="G18" s="491"/>
      <c r="H18" s="491"/>
      <c r="I18" s="491"/>
      <c r="J18" s="491"/>
      <c r="K18" s="491"/>
      <c r="L18" s="491"/>
      <c r="M18" s="491"/>
    </row>
    <row r="19" spans="7:13" x14ac:dyDescent="0.25">
      <c r="G19" s="491"/>
      <c r="H19" s="491"/>
      <c r="I19" s="491"/>
      <c r="J19" s="491"/>
      <c r="K19" s="491"/>
      <c r="L19" s="491"/>
      <c r="M19" s="491"/>
    </row>
    <row r="20" spans="7:13" x14ac:dyDescent="0.25">
      <c r="G20" s="491"/>
      <c r="H20" s="491"/>
      <c r="I20" s="491"/>
      <c r="J20" s="491"/>
      <c r="K20" s="491"/>
      <c r="L20" s="491"/>
      <c r="M20" s="491"/>
    </row>
    <row r="21" spans="7:13" x14ac:dyDescent="0.25">
      <c r="G21" s="491"/>
      <c r="H21" s="491"/>
      <c r="I21" s="491"/>
      <c r="J21" s="491"/>
      <c r="K21" s="491"/>
      <c r="L21" s="491"/>
      <c r="M21" s="491"/>
    </row>
    <row r="24" spans="7:13" x14ac:dyDescent="0.25">
      <c r="G24" s="458" t="s">
        <v>1313</v>
      </c>
      <c r="H24" s="458"/>
      <c r="I24" s="458"/>
      <c r="J24" s="458"/>
      <c r="K24" s="458"/>
      <c r="L24" s="458"/>
      <c r="M24" s="458"/>
    </row>
    <row r="25" spans="7:13" x14ac:dyDescent="0.25">
      <c r="G25" s="458"/>
      <c r="H25" s="458"/>
      <c r="I25" s="458"/>
      <c r="J25" s="458"/>
      <c r="K25" s="458"/>
      <c r="L25" s="458"/>
      <c r="M25" s="458"/>
    </row>
    <row r="26" spans="7:13" x14ac:dyDescent="0.25">
      <c r="G26" s="458"/>
      <c r="H26" s="458"/>
      <c r="I26" s="458"/>
      <c r="J26" s="458"/>
      <c r="K26" s="458"/>
      <c r="L26" s="458"/>
      <c r="M26" s="458"/>
    </row>
    <row r="27" spans="7:13" x14ac:dyDescent="0.25">
      <c r="G27" s="458"/>
      <c r="H27" s="458"/>
      <c r="I27" s="458"/>
      <c r="J27" s="458"/>
      <c r="K27" s="458"/>
      <c r="L27" s="458"/>
      <c r="M27" s="458"/>
    </row>
    <row r="28" spans="7:13" x14ac:dyDescent="0.25">
      <c r="G28" s="458"/>
      <c r="H28" s="458"/>
      <c r="I28" s="458"/>
      <c r="J28" s="458"/>
      <c r="K28" s="458"/>
      <c r="L28" s="458"/>
      <c r="M28" s="458"/>
    </row>
    <row r="31" spans="7:13" x14ac:dyDescent="0.25">
      <c r="G31" s="406" t="s">
        <v>1314</v>
      </c>
      <c r="H31" s="406"/>
      <c r="I31" s="406"/>
      <c r="J31" s="406"/>
      <c r="K31" s="406"/>
      <c r="L31" s="406"/>
      <c r="M31" s="406"/>
    </row>
    <row r="32" spans="7:13" x14ac:dyDescent="0.25">
      <c r="G32" s="406"/>
      <c r="H32" s="406"/>
      <c r="I32" s="406"/>
      <c r="J32" s="406"/>
      <c r="K32" s="406"/>
      <c r="L32" s="406"/>
      <c r="M32" s="406"/>
    </row>
    <row r="33" spans="7:13" x14ac:dyDescent="0.25">
      <c r="G33" s="406"/>
      <c r="H33" s="406"/>
      <c r="I33" s="406"/>
      <c r="J33" s="406"/>
      <c r="K33" s="406"/>
      <c r="L33" s="406"/>
      <c r="M33" s="406"/>
    </row>
    <row r="34" spans="7:13" x14ac:dyDescent="0.25">
      <c r="G34" s="406"/>
      <c r="H34" s="406"/>
      <c r="I34" s="406"/>
      <c r="J34" s="406"/>
      <c r="K34" s="406"/>
      <c r="L34" s="406"/>
      <c r="M34" s="406"/>
    </row>
    <row r="35" spans="7:13" x14ac:dyDescent="0.25">
      <c r="G35" s="406"/>
      <c r="H35" s="406"/>
      <c r="I35" s="406"/>
      <c r="J35" s="406"/>
      <c r="K35" s="406"/>
      <c r="L35" s="406"/>
      <c r="M35" s="406"/>
    </row>
    <row r="36" spans="7:13" x14ac:dyDescent="0.25">
      <c r="G36" s="406"/>
      <c r="H36" s="406"/>
      <c r="I36" s="406"/>
      <c r="J36" s="406"/>
      <c r="K36" s="406"/>
      <c r="L36" s="406"/>
      <c r="M36" s="406"/>
    </row>
  </sheetData>
  <mergeCells count="9">
    <mergeCell ref="G24:M28"/>
    <mergeCell ref="G31:M36"/>
    <mergeCell ref="B2:E3"/>
    <mergeCell ref="G2:M3"/>
    <mergeCell ref="G5:M21"/>
    <mergeCell ref="B9:B10"/>
    <mergeCell ref="C9:C10"/>
    <mergeCell ref="E9:E10"/>
    <mergeCell ref="D9:D10"/>
  </mergeCells>
  <pageMargins left="0.7" right="0.7" top="0.75" bottom="0.75" header="0.3" footer="0.3"/>
  <pageSetup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3"/>
  <sheetViews>
    <sheetView showGridLines="0" topLeftCell="A7" zoomScale="150" zoomScaleNormal="150" workbookViewId="0">
      <selection activeCell="A12" sqref="A12"/>
    </sheetView>
  </sheetViews>
  <sheetFormatPr baseColWidth="10" defaultRowHeight="15" x14ac:dyDescent="0.25"/>
  <cols>
    <col min="1" max="16384" width="11.42578125" style="126"/>
  </cols>
  <sheetData>
    <row r="33" spans="7:7" x14ac:dyDescent="0.25">
      <c r="G33" s="126" t="s">
        <v>928</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9"/>
  <sheetViews>
    <sheetView showGridLines="0" zoomScale="140" zoomScaleNormal="140" workbookViewId="0">
      <selection activeCell="J7" sqref="J7"/>
    </sheetView>
  </sheetViews>
  <sheetFormatPr baseColWidth="10" defaultRowHeight="15" x14ac:dyDescent="0.25"/>
  <cols>
    <col min="1" max="1" width="4.5703125" style="126" customWidth="1"/>
    <col min="2" max="2" width="11.42578125" style="126"/>
    <col min="3" max="3" width="21.28515625" style="126" bestFit="1" customWidth="1"/>
    <col min="4" max="4" width="26.7109375" style="126" customWidth="1"/>
    <col min="5" max="5" width="18.85546875" style="126" bestFit="1" customWidth="1"/>
    <col min="6" max="6" width="17.42578125" style="126" bestFit="1" customWidth="1"/>
    <col min="7" max="7" width="14.140625" style="126" bestFit="1" customWidth="1"/>
    <col min="8" max="8" width="6" style="126" customWidth="1"/>
    <col min="9" max="9" width="15.140625" style="126" bestFit="1" customWidth="1"/>
    <col min="10" max="12" width="13.28515625" style="126" bestFit="1" customWidth="1"/>
    <col min="13" max="13" width="16.28515625" style="126" customWidth="1"/>
    <col min="14" max="14" width="15" style="126" bestFit="1" customWidth="1"/>
    <col min="15" max="15" width="25.85546875" style="126" customWidth="1"/>
    <col min="16" max="16" width="16" style="126" customWidth="1"/>
    <col min="17" max="26" width="11.42578125" style="126"/>
    <col min="27" max="27" width="21" style="126" bestFit="1" customWidth="1"/>
    <col min="28" max="16384" width="11.42578125" style="126"/>
  </cols>
  <sheetData>
    <row r="2" spans="2:27" x14ac:dyDescent="0.25">
      <c r="C2" s="498" t="s">
        <v>1451</v>
      </c>
      <c r="D2" s="498"/>
      <c r="E2" s="499" t="s">
        <v>1452</v>
      </c>
      <c r="F2" s="499"/>
      <c r="G2" s="499"/>
      <c r="H2" s="349"/>
    </row>
    <row r="3" spans="2:27" x14ac:dyDescent="0.25">
      <c r="C3" s="498"/>
      <c r="D3" s="498"/>
      <c r="E3" s="366">
        <v>1</v>
      </c>
      <c r="F3" s="83">
        <v>2</v>
      </c>
      <c r="G3" s="83">
        <v>3</v>
      </c>
      <c r="H3" s="367"/>
      <c r="J3" s="126" t="s">
        <v>3</v>
      </c>
      <c r="K3" s="126" t="s">
        <v>4</v>
      </c>
      <c r="L3" s="126" t="s">
        <v>5</v>
      </c>
      <c r="M3" s="368" t="s">
        <v>6</v>
      </c>
      <c r="N3" s="368" t="s">
        <v>1453</v>
      </c>
      <c r="O3" s="368" t="s">
        <v>8</v>
      </c>
      <c r="P3" s="368" t="s">
        <v>9</v>
      </c>
      <c r="Q3" s="368" t="s">
        <v>10</v>
      </c>
      <c r="R3" s="368" t="s">
        <v>11</v>
      </c>
      <c r="S3" s="368" t="s">
        <v>12</v>
      </c>
      <c r="T3" s="368" t="s">
        <v>13</v>
      </c>
      <c r="U3" s="368" t="s">
        <v>14</v>
      </c>
    </row>
    <row r="4" spans="2:27" x14ac:dyDescent="0.25">
      <c r="C4" s="369"/>
      <c r="D4" s="370"/>
      <c r="E4" s="366"/>
      <c r="F4" s="83"/>
      <c r="G4" s="83"/>
      <c r="H4" s="367"/>
      <c r="M4" s="368"/>
      <c r="N4" s="368"/>
      <c r="AA4" s="363"/>
    </row>
    <row r="5" spans="2:27" x14ac:dyDescent="0.25">
      <c r="C5" s="500" t="s">
        <v>1454</v>
      </c>
      <c r="D5" s="501"/>
      <c r="E5" s="502">
        <v>325654</v>
      </c>
      <c r="F5" s="503">
        <v>895544</v>
      </c>
      <c r="G5" s="496">
        <v>850000</v>
      </c>
      <c r="H5" s="94"/>
      <c r="I5" s="126" t="s">
        <v>1455</v>
      </c>
      <c r="J5" s="376">
        <v>200000</v>
      </c>
      <c r="K5" s="376">
        <v>200000</v>
      </c>
      <c r="L5" s="376">
        <v>200000</v>
      </c>
      <c r="M5" s="376">
        <v>200000</v>
      </c>
      <c r="N5" s="74">
        <v>200000</v>
      </c>
      <c r="O5" s="363">
        <v>200000</v>
      </c>
      <c r="P5" s="363">
        <v>200000</v>
      </c>
      <c r="Q5" s="363">
        <v>200000</v>
      </c>
      <c r="R5" s="363">
        <v>200000</v>
      </c>
      <c r="S5" s="363">
        <v>200000</v>
      </c>
      <c r="T5" s="363">
        <v>200000</v>
      </c>
      <c r="U5" s="363">
        <v>200000</v>
      </c>
      <c r="V5" s="363"/>
      <c r="W5" s="363"/>
      <c r="X5" s="363"/>
      <c r="Y5" s="363"/>
      <c r="Z5" s="363"/>
      <c r="AA5" s="363"/>
    </row>
    <row r="6" spans="2:27" x14ac:dyDescent="0.25">
      <c r="C6" s="500"/>
      <c r="D6" s="501"/>
      <c r="E6" s="502"/>
      <c r="F6" s="503"/>
      <c r="G6" s="496"/>
      <c r="H6" s="94"/>
      <c r="J6" s="74" t="s">
        <v>1499</v>
      </c>
      <c r="K6" s="74"/>
      <c r="L6" s="74"/>
      <c r="M6" s="74"/>
      <c r="N6" s="74"/>
      <c r="O6" s="115"/>
      <c r="P6" s="377"/>
      <c r="Q6" s="377"/>
      <c r="R6" s="377"/>
      <c r="S6" s="377"/>
      <c r="T6" s="377"/>
      <c r="U6" s="377"/>
      <c r="V6" s="377"/>
      <c r="W6" s="377"/>
      <c r="X6" s="377"/>
      <c r="Y6" s="377"/>
      <c r="Z6" s="377"/>
      <c r="AA6" s="377"/>
    </row>
    <row r="7" spans="2:27" ht="21" x14ac:dyDescent="0.35">
      <c r="C7" s="371"/>
      <c r="D7" s="372"/>
      <c r="E7" s="373"/>
      <c r="F7" s="374"/>
      <c r="G7" s="375"/>
      <c r="H7" s="94"/>
      <c r="J7" s="74" t="s">
        <v>1447</v>
      </c>
      <c r="K7" s="74" t="s">
        <v>1447</v>
      </c>
      <c r="L7" s="74" t="s">
        <v>1447</v>
      </c>
      <c r="M7" s="74" t="s">
        <v>1447</v>
      </c>
      <c r="N7" s="74" t="s">
        <v>1447</v>
      </c>
      <c r="O7" s="115"/>
      <c r="P7" s="377"/>
      <c r="Q7" s="377"/>
      <c r="R7" s="377"/>
      <c r="S7" s="377"/>
      <c r="T7" s="377"/>
      <c r="U7" s="377"/>
      <c r="V7" s="377"/>
      <c r="W7" s="377"/>
      <c r="X7" s="377"/>
      <c r="Y7" s="377"/>
      <c r="Z7" s="377"/>
      <c r="AA7" s="377"/>
    </row>
    <row r="8" spans="2:27" ht="23.25" x14ac:dyDescent="0.35">
      <c r="B8" s="504" t="s">
        <v>1456</v>
      </c>
      <c r="C8" s="494" t="s">
        <v>1457</v>
      </c>
      <c r="D8" s="495"/>
      <c r="E8" s="505">
        <v>125320</v>
      </c>
      <c r="F8" s="417">
        <v>0</v>
      </c>
      <c r="G8" s="417">
        <v>895450</v>
      </c>
      <c r="H8" s="94"/>
      <c r="J8" s="378"/>
      <c r="K8" s="378"/>
      <c r="L8" s="378"/>
      <c r="M8" s="378"/>
      <c r="N8" s="74"/>
      <c r="O8" s="115"/>
      <c r="P8" s="377"/>
      <c r="AA8" s="379"/>
    </row>
    <row r="9" spans="2:27" x14ac:dyDescent="0.25">
      <c r="B9" s="504"/>
      <c r="C9" s="494"/>
      <c r="D9" s="495"/>
      <c r="E9" s="505"/>
      <c r="F9" s="417"/>
      <c r="G9" s="417"/>
      <c r="H9" s="94"/>
      <c r="J9" s="380"/>
      <c r="K9" s="381"/>
      <c r="L9" s="381"/>
      <c r="M9" s="382">
        <f>SUM(J8:M8)</f>
        <v>0</v>
      </c>
      <c r="O9" s="115"/>
      <c r="P9" s="377"/>
    </row>
    <row r="10" spans="2:27" x14ac:dyDescent="0.25">
      <c r="B10" s="126" t="s">
        <v>1458</v>
      </c>
      <c r="C10" s="494" t="s">
        <v>1459</v>
      </c>
      <c r="D10" s="495"/>
      <c r="E10" s="496">
        <v>42200</v>
      </c>
      <c r="F10" s="496">
        <v>324514</v>
      </c>
      <c r="G10" s="497">
        <v>0</v>
      </c>
      <c r="H10" s="94"/>
      <c r="J10" s="381"/>
      <c r="K10" s="381"/>
      <c r="L10" s="381"/>
      <c r="O10" s="115"/>
      <c r="P10" s="377"/>
    </row>
    <row r="11" spans="2:27" x14ac:dyDescent="0.25">
      <c r="C11" s="494"/>
      <c r="D11" s="495"/>
      <c r="E11" s="496"/>
      <c r="F11" s="496"/>
      <c r="G11" s="497"/>
      <c r="H11" s="94"/>
      <c r="P11" s="74"/>
    </row>
    <row r="12" spans="2:27" x14ac:dyDescent="0.25">
      <c r="C12" s="507"/>
      <c r="D12" s="508"/>
      <c r="E12" s="303"/>
      <c r="F12" s="83"/>
      <c r="G12" s="83"/>
      <c r="H12" s="367"/>
    </row>
    <row r="13" spans="2:27" x14ac:dyDescent="0.25">
      <c r="C13" s="509" t="s">
        <v>1460</v>
      </c>
      <c r="D13" s="510"/>
      <c r="E13" s="417">
        <f>E5+E8+E10</f>
        <v>493174</v>
      </c>
      <c r="F13" s="417">
        <f>F5+F8+F10</f>
        <v>1220058</v>
      </c>
      <c r="G13" s="417">
        <f>G5+G8+G10</f>
        <v>1745450</v>
      </c>
      <c r="H13" s="94"/>
    </row>
    <row r="14" spans="2:27" x14ac:dyDescent="0.25">
      <c r="C14" s="509"/>
      <c r="D14" s="510"/>
      <c r="E14" s="417"/>
      <c r="F14" s="417"/>
      <c r="G14" s="417"/>
      <c r="H14" s="94"/>
    </row>
    <row r="15" spans="2:27" x14ac:dyDescent="0.25">
      <c r="C15" s="500" t="s">
        <v>1461</v>
      </c>
      <c r="D15" s="501"/>
      <c r="E15" s="497">
        <f>E5+E10</f>
        <v>367854</v>
      </c>
      <c r="F15" s="511">
        <f>F13-F8</f>
        <v>1220058</v>
      </c>
      <c r="G15" s="496">
        <f>G13-G8</f>
        <v>850000</v>
      </c>
      <c r="H15" s="94"/>
    </row>
    <row r="16" spans="2:27" ht="41.25" customHeight="1" x14ac:dyDescent="0.25">
      <c r="C16" s="500"/>
      <c r="D16" s="501"/>
      <c r="E16" s="497"/>
      <c r="F16" s="511"/>
      <c r="G16" s="496"/>
      <c r="H16" s="94"/>
    </row>
    <row r="17" spans="3:8" x14ac:dyDescent="0.25">
      <c r="C17" s="83" t="s">
        <v>1462</v>
      </c>
      <c r="D17" s="83"/>
      <c r="E17" s="289" t="s">
        <v>1463</v>
      </c>
      <c r="F17" s="289" t="s">
        <v>1308</v>
      </c>
      <c r="G17" s="289" t="s">
        <v>1463</v>
      </c>
      <c r="H17" s="383"/>
    </row>
    <row r="18" spans="3:8" x14ac:dyDescent="0.25">
      <c r="C18" s="494" t="s">
        <v>1464</v>
      </c>
      <c r="D18" s="494"/>
      <c r="E18" s="506" t="s">
        <v>1308</v>
      </c>
      <c r="F18" s="506" t="s">
        <v>1463</v>
      </c>
      <c r="G18" s="506" t="s">
        <v>1308</v>
      </c>
      <c r="H18" s="384"/>
    </row>
    <row r="19" spans="3:8" x14ac:dyDescent="0.25">
      <c r="C19" s="494"/>
      <c r="D19" s="494"/>
      <c r="E19" s="506"/>
      <c r="F19" s="506"/>
      <c r="G19" s="506"/>
      <c r="H19" s="384"/>
    </row>
  </sheetData>
  <mergeCells count="28">
    <mergeCell ref="C18:D19"/>
    <mergeCell ref="E18:E19"/>
    <mergeCell ref="F18:F19"/>
    <mergeCell ref="G18:G19"/>
    <mergeCell ref="C12:D12"/>
    <mergeCell ref="C13:D14"/>
    <mergeCell ref="E13:E14"/>
    <mergeCell ref="F13:F14"/>
    <mergeCell ref="G13:G14"/>
    <mergeCell ref="C15:D16"/>
    <mergeCell ref="E15:E16"/>
    <mergeCell ref="F15:F16"/>
    <mergeCell ref="G15:G16"/>
    <mergeCell ref="B8:B9"/>
    <mergeCell ref="C8:D9"/>
    <mergeCell ref="E8:E9"/>
    <mergeCell ref="F8:F9"/>
    <mergeCell ref="G8:G9"/>
    <mergeCell ref="C10:D11"/>
    <mergeCell ref="E10:E11"/>
    <mergeCell ref="F10:F11"/>
    <mergeCell ref="G10:G11"/>
    <mergeCell ref="C2:D3"/>
    <mergeCell ref="E2:G2"/>
    <mergeCell ref="C5:D6"/>
    <mergeCell ref="E5:E6"/>
    <mergeCell ref="F5:F6"/>
    <mergeCell ref="G5:G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6"/>
  <sheetViews>
    <sheetView showGridLines="0" topLeftCell="H10" workbookViewId="0">
      <selection activeCell="K23" sqref="K23"/>
    </sheetView>
  </sheetViews>
  <sheetFormatPr baseColWidth="10" defaultRowHeight="15" x14ac:dyDescent="0.25"/>
  <cols>
    <col min="2" max="2" width="26.85546875" customWidth="1"/>
    <col min="3" max="3" width="29" customWidth="1"/>
    <col min="4" max="4" width="32" customWidth="1"/>
    <col min="6" max="6" width="15.85546875" customWidth="1"/>
    <col min="7" max="7" width="18.42578125" customWidth="1"/>
    <col min="10" max="10" width="32.140625" customWidth="1"/>
    <col min="14" max="14" width="39.7109375" customWidth="1"/>
    <col min="15" max="15" width="22.7109375" customWidth="1"/>
    <col min="16" max="16" width="12.5703125" bestFit="1" customWidth="1"/>
  </cols>
  <sheetData>
    <row r="3" spans="2:16" x14ac:dyDescent="0.25">
      <c r="B3" t="s">
        <v>1320</v>
      </c>
    </row>
    <row r="4" spans="2:16" x14ac:dyDescent="0.25">
      <c r="B4" s="241" t="s">
        <v>1321</v>
      </c>
    </row>
    <row r="5" spans="2:16" x14ac:dyDescent="0.25">
      <c r="B5" s="285" t="s">
        <v>1323</v>
      </c>
    </row>
    <row r="6" spans="2:16" x14ac:dyDescent="0.25">
      <c r="B6" s="307" t="s">
        <v>1367</v>
      </c>
    </row>
    <row r="9" spans="2:16" s="126" customFormat="1" ht="21" x14ac:dyDescent="0.35">
      <c r="B9" s="512" t="s">
        <v>1324</v>
      </c>
      <c r="C9" s="512"/>
      <c r="D9" s="512"/>
      <c r="E9" s="512"/>
      <c r="F9" s="512"/>
    </row>
    <row r="10" spans="2:16" s="126" customFormat="1" x14ac:dyDescent="0.25"/>
    <row r="11" spans="2:16" s="126" customFormat="1" x14ac:dyDescent="0.25">
      <c r="C11" s="126" t="s">
        <v>1325</v>
      </c>
    </row>
    <row r="12" spans="2:16" s="126" customFormat="1" x14ac:dyDescent="0.25"/>
    <row r="13" spans="2:16" s="126" customFormat="1" ht="24" customHeight="1" x14ac:dyDescent="0.25">
      <c r="B13" s="286"/>
      <c r="C13" s="286" t="s">
        <v>1326</v>
      </c>
      <c r="D13" s="286" t="s">
        <v>1327</v>
      </c>
      <c r="E13" s="286" t="s">
        <v>962</v>
      </c>
      <c r="F13" s="286" t="s">
        <v>81</v>
      </c>
      <c r="G13" s="286" t="s">
        <v>1328</v>
      </c>
      <c r="I13" s="513" t="s">
        <v>1329</v>
      </c>
      <c r="J13" s="514"/>
      <c r="K13" s="287" t="s">
        <v>1330</v>
      </c>
      <c r="M13" s="513" t="s">
        <v>1331</v>
      </c>
      <c r="N13" s="514"/>
      <c r="O13" s="287" t="s">
        <v>1330</v>
      </c>
    </row>
    <row r="14" spans="2:16" s="126" customFormat="1" ht="15.75" x14ac:dyDescent="0.25">
      <c r="B14" s="83"/>
      <c r="C14" s="288" t="s">
        <v>1332</v>
      </c>
      <c r="D14" s="281">
        <v>25000</v>
      </c>
      <c r="E14" s="76" t="s">
        <v>1333</v>
      </c>
      <c r="F14" s="281">
        <v>0</v>
      </c>
      <c r="G14" s="289">
        <v>0.25</v>
      </c>
      <c r="I14" s="290"/>
      <c r="J14" s="291" t="s">
        <v>1334</v>
      </c>
      <c r="K14" s="292">
        <v>240</v>
      </c>
      <c r="M14" s="290"/>
      <c r="N14" s="291" t="s">
        <v>1335</v>
      </c>
      <c r="O14" s="292">
        <v>30000</v>
      </c>
      <c r="P14" s="16">
        <f>D16</f>
        <v>30000</v>
      </c>
    </row>
    <row r="15" spans="2:16" s="126" customFormat="1" x14ac:dyDescent="0.25">
      <c r="B15" s="83" t="s">
        <v>1336</v>
      </c>
      <c r="C15" s="288" t="s">
        <v>1322</v>
      </c>
      <c r="D15" s="281">
        <v>45000</v>
      </c>
      <c r="E15" s="289">
        <v>0</v>
      </c>
      <c r="F15" s="281">
        <v>0</v>
      </c>
      <c r="G15" s="289">
        <v>0.45</v>
      </c>
      <c r="I15" s="83" t="s">
        <v>1336</v>
      </c>
      <c r="J15" s="83" t="s">
        <v>1337</v>
      </c>
      <c r="K15" s="281">
        <v>1600</v>
      </c>
      <c r="M15" s="83" t="s">
        <v>1336</v>
      </c>
      <c r="N15" s="83" t="s">
        <v>1338</v>
      </c>
      <c r="O15" s="281">
        <v>45000</v>
      </c>
      <c r="P15" s="16">
        <f>D15</f>
        <v>45000</v>
      </c>
    </row>
    <row r="16" spans="2:16" s="126" customFormat="1" x14ac:dyDescent="0.25">
      <c r="B16" s="83" t="s">
        <v>1336</v>
      </c>
      <c r="C16" s="288" t="s">
        <v>1339</v>
      </c>
      <c r="D16" s="281">
        <v>30000</v>
      </c>
      <c r="E16" s="289">
        <v>0.16</v>
      </c>
      <c r="F16" s="281">
        <f>D16*E16</f>
        <v>4800</v>
      </c>
      <c r="G16" s="289">
        <v>0.3</v>
      </c>
      <c r="I16" s="83" t="s">
        <v>1336</v>
      </c>
      <c r="J16" s="83" t="s">
        <v>1340</v>
      </c>
      <c r="K16" s="281">
        <v>2400</v>
      </c>
      <c r="M16" s="83" t="s">
        <v>1341</v>
      </c>
      <c r="N16" s="83" t="s">
        <v>1342</v>
      </c>
      <c r="O16" s="281">
        <v>75000</v>
      </c>
      <c r="P16" s="16">
        <f>P14+P15</f>
        <v>75000</v>
      </c>
    </row>
    <row r="17" spans="2:16" s="126" customFormat="1" x14ac:dyDescent="0.25">
      <c r="B17" s="83" t="s">
        <v>1341</v>
      </c>
      <c r="C17" s="288" t="s">
        <v>80</v>
      </c>
      <c r="D17" s="293">
        <f>SUM(D14:D16)</f>
        <v>100000</v>
      </c>
      <c r="E17" s="76"/>
      <c r="F17" s="76"/>
      <c r="G17" s="294">
        <v>1</v>
      </c>
      <c r="I17" s="83" t="s">
        <v>1336</v>
      </c>
      <c r="J17" s="83" t="s">
        <v>1343</v>
      </c>
      <c r="K17" s="281">
        <v>320</v>
      </c>
      <c r="M17" s="83" t="s">
        <v>1344</v>
      </c>
      <c r="N17" s="83" t="s">
        <v>1345</v>
      </c>
      <c r="O17" s="281">
        <v>100000</v>
      </c>
      <c r="P17" s="16">
        <f>D17</f>
        <v>100000</v>
      </c>
    </row>
    <row r="18" spans="2:16" s="126" customFormat="1" x14ac:dyDescent="0.25">
      <c r="I18" s="295" t="s">
        <v>1346</v>
      </c>
      <c r="J18" s="295"/>
      <c r="K18" s="296">
        <v>4560</v>
      </c>
      <c r="M18" s="295" t="s">
        <v>1346</v>
      </c>
      <c r="N18" s="295" t="s">
        <v>1347</v>
      </c>
      <c r="O18" s="394">
        <v>0.75</v>
      </c>
      <c r="P18" s="126">
        <f>P16/P17</f>
        <v>0.75</v>
      </c>
    </row>
    <row r="19" spans="2:16" s="126" customFormat="1" ht="15.75" thickBot="1" x14ac:dyDescent="0.3"/>
    <row r="20" spans="2:16" s="126" customFormat="1" ht="22.5" customHeight="1" thickBot="1" x14ac:dyDescent="0.3">
      <c r="B20" s="297"/>
      <c r="C20" s="298" t="s">
        <v>1348</v>
      </c>
      <c r="D20" s="297" t="s">
        <v>1327</v>
      </c>
      <c r="E20" s="298" t="s">
        <v>1349</v>
      </c>
      <c r="F20" s="297" t="s">
        <v>81</v>
      </c>
      <c r="G20" s="299" t="s">
        <v>1350</v>
      </c>
      <c r="I20" s="515" t="s">
        <v>1351</v>
      </c>
      <c r="J20" s="516"/>
      <c r="K20" s="300" t="s">
        <v>1352</v>
      </c>
      <c r="M20" s="515" t="s">
        <v>1353</v>
      </c>
      <c r="N20" s="516"/>
      <c r="O20" s="300" t="s">
        <v>1352</v>
      </c>
    </row>
    <row r="21" spans="2:16" s="126" customFormat="1" x14ac:dyDescent="0.25">
      <c r="B21" s="76" t="s">
        <v>1336</v>
      </c>
      <c r="C21" s="301" t="s">
        <v>1354</v>
      </c>
      <c r="D21" s="397">
        <v>12000</v>
      </c>
      <c r="E21" s="398">
        <v>0.16</v>
      </c>
      <c r="F21" s="399">
        <f>D21*E21</f>
        <v>1920</v>
      </c>
      <c r="G21" s="400" t="s">
        <v>1333</v>
      </c>
      <c r="I21" s="291"/>
      <c r="J21" s="291" t="s">
        <v>1355</v>
      </c>
      <c r="K21" s="302">
        <v>320</v>
      </c>
      <c r="M21" s="291"/>
      <c r="N21" s="291" t="s">
        <v>1356</v>
      </c>
      <c r="O21" s="302">
        <f>F24</f>
        <v>240</v>
      </c>
    </row>
    <row r="22" spans="2:16" s="126" customFormat="1" x14ac:dyDescent="0.25">
      <c r="B22" s="76" t="s">
        <v>1336</v>
      </c>
      <c r="C22" s="301" t="s">
        <v>1357</v>
      </c>
      <c r="D22" s="281">
        <v>10000</v>
      </c>
      <c r="E22" s="289">
        <v>0.16</v>
      </c>
      <c r="F22" s="81">
        <f t="shared" ref="F22:F25" si="0">D22*E22</f>
        <v>1600</v>
      </c>
      <c r="G22" s="393">
        <v>0</v>
      </c>
      <c r="I22" s="83" t="s">
        <v>953</v>
      </c>
      <c r="J22" s="83" t="s">
        <v>1358</v>
      </c>
      <c r="K22" s="83">
        <v>0.75</v>
      </c>
      <c r="M22" s="83" t="s">
        <v>1336</v>
      </c>
      <c r="N22" s="83" t="s">
        <v>1359</v>
      </c>
      <c r="O22" s="396">
        <f>F22</f>
        <v>1600</v>
      </c>
    </row>
    <row r="23" spans="2:16" s="126" customFormat="1" x14ac:dyDescent="0.25">
      <c r="B23" s="76" t="s">
        <v>1336</v>
      </c>
      <c r="C23" s="301" t="s">
        <v>1360</v>
      </c>
      <c r="D23" s="397">
        <v>3000</v>
      </c>
      <c r="E23" s="398">
        <v>0.16</v>
      </c>
      <c r="F23" s="399">
        <f t="shared" si="0"/>
        <v>480</v>
      </c>
      <c r="G23" s="400" t="s">
        <v>1333</v>
      </c>
      <c r="I23" s="83" t="s">
        <v>1361</v>
      </c>
      <c r="J23" s="83" t="s">
        <v>1362</v>
      </c>
      <c r="K23" s="395">
        <f>K21*K22</f>
        <v>240</v>
      </c>
      <c r="M23" s="83" t="s">
        <v>1336</v>
      </c>
      <c r="N23" s="83" t="s">
        <v>1362</v>
      </c>
      <c r="O23" s="303">
        <f>K23</f>
        <v>240</v>
      </c>
    </row>
    <row r="24" spans="2:16" s="126" customFormat="1" x14ac:dyDescent="0.25">
      <c r="B24" s="76" t="s">
        <v>1336</v>
      </c>
      <c r="C24" s="301" t="s">
        <v>1363</v>
      </c>
      <c r="D24" s="281">
        <v>1500</v>
      </c>
      <c r="E24" s="289">
        <v>0.16</v>
      </c>
      <c r="F24" s="81">
        <f t="shared" si="0"/>
        <v>240</v>
      </c>
      <c r="G24" s="393">
        <v>0.16</v>
      </c>
      <c r="M24" s="166" t="s">
        <v>1341</v>
      </c>
      <c r="N24" s="304" t="s">
        <v>80</v>
      </c>
      <c r="O24" s="401">
        <v>2080</v>
      </c>
    </row>
    <row r="25" spans="2:16" s="126" customFormat="1" x14ac:dyDescent="0.25">
      <c r="B25" s="76" t="s">
        <v>1364</v>
      </c>
      <c r="C25" s="301" t="s">
        <v>1365</v>
      </c>
      <c r="D25" s="397">
        <v>2000</v>
      </c>
      <c r="E25" s="398">
        <v>0.16</v>
      </c>
      <c r="F25" s="399">
        <f t="shared" si="0"/>
        <v>320</v>
      </c>
      <c r="G25" s="400" t="s">
        <v>1366</v>
      </c>
    </row>
    <row r="26" spans="2:16" s="126" customFormat="1" ht="15.75" x14ac:dyDescent="0.25">
      <c r="B26" s="301" t="s">
        <v>1346</v>
      </c>
      <c r="C26" s="76" t="s">
        <v>80</v>
      </c>
      <c r="D26" s="305">
        <f>SUM(D21:D25)</f>
        <v>28500</v>
      </c>
      <c r="E26" s="76"/>
      <c r="F26" s="306">
        <f>SUM(F21:F25)</f>
        <v>4560</v>
      </c>
      <c r="G26" s="76"/>
    </row>
    <row r="27" spans="2:16" s="126" customFormat="1" x14ac:dyDescent="0.25"/>
    <row r="35" spans="4:4" x14ac:dyDescent="0.25">
      <c r="D35" s="61"/>
    </row>
    <row r="36" spans="4:4" x14ac:dyDescent="0.25">
      <c r="D36" s="308"/>
    </row>
  </sheetData>
  <mergeCells count="5">
    <mergeCell ref="B9:F9"/>
    <mergeCell ref="I13:J13"/>
    <mergeCell ref="M13:N13"/>
    <mergeCell ref="I20:J20"/>
    <mergeCell ref="M20:N2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N20"/>
  <sheetViews>
    <sheetView showGridLines="0" workbookViewId="0">
      <selection activeCell="I15" sqref="I15"/>
    </sheetView>
  </sheetViews>
  <sheetFormatPr baseColWidth="10" defaultRowHeight="15" x14ac:dyDescent="0.25"/>
  <cols>
    <col min="5" max="5" width="12.28515625" customWidth="1"/>
    <col min="9" max="9" width="14.140625" bestFit="1" customWidth="1"/>
    <col min="11" max="11" width="12.5703125" bestFit="1" customWidth="1"/>
    <col min="13" max="13" width="21" customWidth="1"/>
  </cols>
  <sheetData>
    <row r="5" spans="5:14" x14ac:dyDescent="0.25">
      <c r="E5" t="s">
        <v>1510</v>
      </c>
      <c r="F5" s="406" t="s">
        <v>1511</v>
      </c>
      <c r="G5" s="406"/>
      <c r="H5" s="406"/>
      <c r="I5" s="406"/>
      <c r="J5" s="406"/>
      <c r="K5" s="406"/>
      <c r="L5" s="406"/>
      <c r="M5" s="406"/>
    </row>
    <row r="6" spans="5:14" x14ac:dyDescent="0.25">
      <c r="F6" s="406"/>
      <c r="G6" s="406"/>
      <c r="H6" s="406"/>
      <c r="I6" s="406"/>
      <c r="J6" s="406"/>
      <c r="K6" s="406"/>
      <c r="L6" s="406"/>
      <c r="M6" s="406"/>
    </row>
    <row r="7" spans="5:14" x14ac:dyDescent="0.25">
      <c r="F7" s="406"/>
      <c r="G7" s="406"/>
      <c r="H7" s="406"/>
      <c r="I7" s="406"/>
      <c r="J7" s="406"/>
      <c r="K7" s="406"/>
      <c r="L7" s="406"/>
      <c r="M7" s="406"/>
    </row>
    <row r="8" spans="5:14" x14ac:dyDescent="0.25">
      <c r="F8" s="406"/>
      <c r="G8" s="406"/>
      <c r="H8" s="406"/>
      <c r="I8" s="406"/>
      <c r="J8" s="406"/>
      <c r="K8" s="406"/>
      <c r="L8" s="406"/>
      <c r="M8" s="406"/>
    </row>
    <row r="9" spans="5:14" x14ac:dyDescent="0.25">
      <c r="F9" s="406"/>
      <c r="G9" s="406"/>
      <c r="H9" s="406"/>
      <c r="I9" s="406"/>
      <c r="J9" s="406"/>
      <c r="K9" s="406"/>
      <c r="L9" s="406"/>
      <c r="M9" s="406"/>
    </row>
    <row r="13" spans="5:14" x14ac:dyDescent="0.25">
      <c r="N13" t="s">
        <v>1519</v>
      </c>
    </row>
    <row r="14" spans="5:14" x14ac:dyDescent="0.25">
      <c r="F14" t="s">
        <v>1512</v>
      </c>
      <c r="I14" s="16">
        <f>I16-I15</f>
        <v>1200000</v>
      </c>
      <c r="J14" t="s">
        <v>1517</v>
      </c>
      <c r="N14" t="s">
        <v>1518</v>
      </c>
    </row>
    <row r="15" spans="5:14" x14ac:dyDescent="0.25">
      <c r="I15" s="74">
        <v>5500000</v>
      </c>
      <c r="J15" s="82">
        <v>6.2E-2</v>
      </c>
      <c r="K15" s="74">
        <f>I15*J15</f>
        <v>341000</v>
      </c>
      <c r="M15" t="s">
        <v>1515</v>
      </c>
    </row>
    <row r="16" spans="5:14" x14ac:dyDescent="0.25">
      <c r="F16" t="s">
        <v>1513</v>
      </c>
      <c r="I16" s="74">
        <v>6700000</v>
      </c>
      <c r="J16" s="82">
        <v>6.2E-2</v>
      </c>
      <c r="K16" s="16">
        <f>I16*J16</f>
        <v>415400</v>
      </c>
      <c r="M16" t="s">
        <v>1514</v>
      </c>
    </row>
    <row r="17" spans="6:11" x14ac:dyDescent="0.25">
      <c r="I17">
        <v>4</v>
      </c>
    </row>
    <row r="18" spans="6:11" x14ac:dyDescent="0.25">
      <c r="F18" s="363">
        <v>1000000</v>
      </c>
      <c r="I18" s="363">
        <v>400000</v>
      </c>
      <c r="K18" t="s">
        <v>1516</v>
      </c>
    </row>
    <row r="19" spans="6:11" x14ac:dyDescent="0.25">
      <c r="F19" s="363">
        <v>2000000</v>
      </c>
      <c r="I19">
        <v>7.5</v>
      </c>
    </row>
    <row r="20" spans="6:11" x14ac:dyDescent="0.25">
      <c r="I20">
        <f>I18*I19</f>
        <v>3000000</v>
      </c>
    </row>
  </sheetData>
  <mergeCells count="1">
    <mergeCell ref="F5:M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7:C21"/>
  <sheetViews>
    <sheetView zoomScale="60" zoomScaleNormal="60" workbookViewId="0"/>
  </sheetViews>
  <sheetFormatPr baseColWidth="10" defaultRowHeight="15" x14ac:dyDescent="0.25"/>
  <sheetData>
    <row r="17" spans="3:3" x14ac:dyDescent="0.25">
      <c r="C17" t="s">
        <v>948</v>
      </c>
    </row>
    <row r="18" spans="3:3" x14ac:dyDescent="0.25">
      <c r="C18" t="s">
        <v>959</v>
      </c>
    </row>
    <row r="19" spans="3:3" x14ac:dyDescent="0.25">
      <c r="C19" t="s">
        <v>960</v>
      </c>
    </row>
    <row r="20" spans="3:3" x14ac:dyDescent="0.25">
      <c r="C20" t="s">
        <v>961</v>
      </c>
    </row>
    <row r="21" spans="3:3" x14ac:dyDescent="0.25">
      <c r="C21" t="s">
        <v>962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2" sqref="B12"/>
    </sheetView>
  </sheetViews>
  <sheetFormatPr baseColWidth="10"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2"/>
  <sheetViews>
    <sheetView topLeftCell="C1" zoomScale="140" zoomScaleNormal="140" workbookViewId="0">
      <selection activeCell="D4" sqref="D4"/>
    </sheetView>
  </sheetViews>
  <sheetFormatPr baseColWidth="10" defaultRowHeight="15" x14ac:dyDescent="0.25"/>
  <cols>
    <col min="2" max="2" width="13.28515625" bestFit="1" customWidth="1"/>
    <col min="3" max="3" width="28.85546875" bestFit="1" customWidth="1"/>
    <col min="4" max="4" width="32.140625" bestFit="1" customWidth="1"/>
    <col min="5" max="5" width="17.140625" bestFit="1" customWidth="1"/>
    <col min="7" max="7" width="11.28515625" bestFit="1" customWidth="1"/>
    <col min="10" max="10" width="11.28515625" bestFit="1" customWidth="1"/>
  </cols>
  <sheetData>
    <row r="2" spans="2:11" x14ac:dyDescent="0.25">
      <c r="C2" s="452" t="s">
        <v>838</v>
      </c>
      <c r="D2" s="452"/>
    </row>
    <row r="3" spans="2:11" x14ac:dyDescent="0.25">
      <c r="C3" t="s">
        <v>836</v>
      </c>
      <c r="D3" t="s">
        <v>846</v>
      </c>
      <c r="E3" t="s">
        <v>847</v>
      </c>
      <c r="F3" t="s">
        <v>849</v>
      </c>
    </row>
    <row r="4" spans="2:11" x14ac:dyDescent="0.25">
      <c r="B4" t="s">
        <v>843</v>
      </c>
      <c r="C4" t="s">
        <v>839</v>
      </c>
      <c r="D4" t="s">
        <v>844</v>
      </c>
      <c r="E4" t="s">
        <v>848</v>
      </c>
      <c r="F4" s="114">
        <v>300000</v>
      </c>
      <c r="G4" t="s">
        <v>850</v>
      </c>
    </row>
    <row r="5" spans="2:11" x14ac:dyDescent="0.25">
      <c r="C5" t="s">
        <v>840</v>
      </c>
      <c r="D5" t="s">
        <v>845</v>
      </c>
      <c r="F5" t="s">
        <v>851</v>
      </c>
    </row>
    <row r="6" spans="2:11" x14ac:dyDescent="0.25">
      <c r="C6" t="s">
        <v>841</v>
      </c>
      <c r="F6" t="s">
        <v>852</v>
      </c>
    </row>
    <row r="7" spans="2:11" x14ac:dyDescent="0.25">
      <c r="C7" t="s">
        <v>842</v>
      </c>
    </row>
    <row r="9" spans="2:11" x14ac:dyDescent="0.25">
      <c r="F9" s="452" t="s">
        <v>855</v>
      </c>
      <c r="G9" s="452"/>
    </row>
    <row r="10" spans="2:11" x14ac:dyDescent="0.25">
      <c r="F10" t="s">
        <v>853</v>
      </c>
      <c r="G10" s="74">
        <v>10000</v>
      </c>
      <c r="H10" t="s">
        <v>836</v>
      </c>
      <c r="J10" s="74">
        <v>10000</v>
      </c>
      <c r="K10" t="s">
        <v>837</v>
      </c>
    </row>
    <row r="11" spans="2:11" x14ac:dyDescent="0.25">
      <c r="F11" t="s">
        <v>854</v>
      </c>
      <c r="G11" s="74">
        <v>7500</v>
      </c>
      <c r="J11" s="74">
        <v>2000</v>
      </c>
    </row>
    <row r="12" spans="2:11" x14ac:dyDescent="0.25">
      <c r="G12" s="16">
        <f>G10-G11</f>
        <v>2500</v>
      </c>
    </row>
  </sheetData>
  <mergeCells count="2">
    <mergeCell ref="C2:D2"/>
    <mergeCell ref="F9:G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H23"/>
  <sheetViews>
    <sheetView showGridLines="0" topLeftCell="B1" zoomScale="90" zoomScaleNormal="90" workbookViewId="0">
      <selection activeCell="B27" sqref="B27"/>
    </sheetView>
  </sheetViews>
  <sheetFormatPr baseColWidth="10" defaultRowHeight="15" x14ac:dyDescent="0.25"/>
  <cols>
    <col min="4" max="4" width="15.42578125" bestFit="1" customWidth="1"/>
    <col min="7" max="7" width="19.85546875" bestFit="1" customWidth="1"/>
    <col min="8" max="8" width="28.5703125" customWidth="1"/>
  </cols>
  <sheetData>
    <row r="6" spans="3:8" x14ac:dyDescent="0.25">
      <c r="C6" t="s">
        <v>123</v>
      </c>
    </row>
    <row r="8" spans="3:8" x14ac:dyDescent="0.25">
      <c r="C8" s="74">
        <v>0.01</v>
      </c>
      <c r="D8" s="74">
        <v>180.92</v>
      </c>
      <c r="E8" s="75">
        <v>0.02</v>
      </c>
      <c r="G8" s="76" t="s">
        <v>128</v>
      </c>
      <c r="H8" s="77">
        <v>710.41</v>
      </c>
    </row>
    <row r="9" spans="3:8" x14ac:dyDescent="0.25">
      <c r="C9" s="74">
        <v>180.93</v>
      </c>
      <c r="D9" s="74">
        <v>493.42</v>
      </c>
      <c r="E9" s="75">
        <v>0.03</v>
      </c>
      <c r="G9" s="76" t="s">
        <v>124</v>
      </c>
      <c r="H9" s="78"/>
    </row>
    <row r="10" spans="3:8" x14ac:dyDescent="0.25">
      <c r="C10" s="74">
        <v>493.43</v>
      </c>
      <c r="D10" s="74">
        <v>690.79</v>
      </c>
      <c r="E10" s="75">
        <v>0.04</v>
      </c>
      <c r="G10" s="76" t="s">
        <v>125</v>
      </c>
      <c r="H10" s="79">
        <f>VLOOKUP(H8,C8:E11,3,1)</f>
        <v>0.08</v>
      </c>
    </row>
    <row r="11" spans="3:8" x14ac:dyDescent="0.25">
      <c r="C11" s="74">
        <v>690.8</v>
      </c>
      <c r="D11" s="74">
        <v>1000000</v>
      </c>
      <c r="E11" s="75">
        <v>0.08</v>
      </c>
      <c r="G11" s="76" t="s">
        <v>126</v>
      </c>
      <c r="H11" s="80">
        <f>H10*H8</f>
        <v>56.832799999999999</v>
      </c>
    </row>
    <row r="12" spans="3:8" x14ac:dyDescent="0.25">
      <c r="G12" s="76" t="s">
        <v>127</v>
      </c>
      <c r="H12" s="81">
        <f>H8-H11</f>
        <v>653.57719999999995</v>
      </c>
    </row>
    <row r="13" spans="3:8" x14ac:dyDescent="0.25">
      <c r="G13" s="84"/>
      <c r="H13" s="85"/>
    </row>
    <row r="14" spans="3:8" x14ac:dyDescent="0.25">
      <c r="G14" s="84"/>
      <c r="H14" s="85"/>
    </row>
    <row r="15" spans="3:8" x14ac:dyDescent="0.25">
      <c r="G15" s="84"/>
      <c r="H15" s="85"/>
    </row>
    <row r="16" spans="3:8" x14ac:dyDescent="0.25">
      <c r="C16" t="s">
        <v>129</v>
      </c>
    </row>
    <row r="18" spans="3:8" x14ac:dyDescent="0.25">
      <c r="C18">
        <v>0.01</v>
      </c>
      <c r="D18">
        <v>49.34</v>
      </c>
      <c r="E18" s="82">
        <v>4.0000000000000001E-3</v>
      </c>
      <c r="G18" s="83" t="s">
        <v>128</v>
      </c>
      <c r="H18" s="83">
        <v>710.41</v>
      </c>
    </row>
    <row r="19" spans="3:8" x14ac:dyDescent="0.25">
      <c r="C19">
        <v>49.35</v>
      </c>
      <c r="D19">
        <v>164.47</v>
      </c>
      <c r="E19" s="82">
        <v>5.0000000000000001E-3</v>
      </c>
      <c r="G19" s="83" t="s">
        <v>124</v>
      </c>
      <c r="H19" s="83">
        <f>H18*0.08</f>
        <v>56.832799999999999</v>
      </c>
    </row>
    <row r="20" spans="3:8" x14ac:dyDescent="0.25">
      <c r="C20">
        <v>164.48</v>
      </c>
      <c r="D20">
        <v>328.95</v>
      </c>
      <c r="E20" s="82">
        <v>8.9999999999999993E-3</v>
      </c>
      <c r="G20" s="83" t="s">
        <v>125</v>
      </c>
      <c r="H20" s="83">
        <f>VLOOKUP(H18,C18:E23,3,1)</f>
        <v>1.0999999999999999E-2</v>
      </c>
    </row>
    <row r="21" spans="3:8" x14ac:dyDescent="0.25">
      <c r="C21">
        <v>328.96</v>
      </c>
      <c r="D21">
        <v>822.37</v>
      </c>
      <c r="E21" s="82">
        <v>1.0999999999999999E-2</v>
      </c>
      <c r="G21" s="83" t="s">
        <v>126</v>
      </c>
      <c r="H21" s="83">
        <f>H18*H20</f>
        <v>7.8145099999999994</v>
      </c>
    </row>
    <row r="22" spans="3:8" x14ac:dyDescent="0.25">
      <c r="C22">
        <v>822.38</v>
      </c>
      <c r="D22">
        <v>3289.47</v>
      </c>
      <c r="E22" s="82">
        <v>0.02</v>
      </c>
      <c r="G22" s="83" t="s">
        <v>127</v>
      </c>
      <c r="H22" s="83">
        <v>653.57719999999995</v>
      </c>
    </row>
    <row r="23" spans="3:8" x14ac:dyDescent="0.25">
      <c r="C23">
        <v>3289.48</v>
      </c>
      <c r="D23">
        <v>3289.47</v>
      </c>
      <c r="E23" s="82">
        <v>5.3999999999999999E-2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40" zoomScaleNormal="40" workbookViewId="0">
      <selection activeCell="B27" sqref="B27"/>
    </sheetView>
  </sheetViews>
  <sheetFormatPr baseColWidth="10"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topLeftCell="A102" workbookViewId="0">
      <selection activeCell="C123" sqref="C123"/>
    </sheetView>
  </sheetViews>
  <sheetFormatPr baseColWidth="10" defaultRowHeight="15" x14ac:dyDescent="0.25"/>
  <cols>
    <col min="1" max="9" width="14.140625" customWidth="1"/>
    <col min="257" max="265" width="14.140625" customWidth="1"/>
    <col min="513" max="521" width="14.140625" customWidth="1"/>
    <col min="769" max="777" width="14.140625" customWidth="1"/>
    <col min="1025" max="1033" width="14.140625" customWidth="1"/>
    <col min="1281" max="1289" width="14.140625" customWidth="1"/>
    <col min="1537" max="1545" width="14.140625" customWidth="1"/>
    <col min="1793" max="1801" width="14.140625" customWidth="1"/>
    <col min="2049" max="2057" width="14.140625" customWidth="1"/>
    <col min="2305" max="2313" width="14.140625" customWidth="1"/>
    <col min="2561" max="2569" width="14.140625" customWidth="1"/>
    <col min="2817" max="2825" width="14.140625" customWidth="1"/>
    <col min="3073" max="3081" width="14.140625" customWidth="1"/>
    <col min="3329" max="3337" width="14.140625" customWidth="1"/>
    <col min="3585" max="3593" width="14.140625" customWidth="1"/>
    <col min="3841" max="3849" width="14.140625" customWidth="1"/>
    <col min="4097" max="4105" width="14.140625" customWidth="1"/>
    <col min="4353" max="4361" width="14.140625" customWidth="1"/>
    <col min="4609" max="4617" width="14.140625" customWidth="1"/>
    <col min="4865" max="4873" width="14.140625" customWidth="1"/>
    <col min="5121" max="5129" width="14.140625" customWidth="1"/>
    <col min="5377" max="5385" width="14.140625" customWidth="1"/>
    <col min="5633" max="5641" width="14.140625" customWidth="1"/>
    <col min="5889" max="5897" width="14.140625" customWidth="1"/>
    <col min="6145" max="6153" width="14.140625" customWidth="1"/>
    <col min="6401" max="6409" width="14.140625" customWidth="1"/>
    <col min="6657" max="6665" width="14.140625" customWidth="1"/>
    <col min="6913" max="6921" width="14.140625" customWidth="1"/>
    <col min="7169" max="7177" width="14.140625" customWidth="1"/>
    <col min="7425" max="7433" width="14.140625" customWidth="1"/>
    <col min="7681" max="7689" width="14.140625" customWidth="1"/>
    <col min="7937" max="7945" width="14.140625" customWidth="1"/>
    <col min="8193" max="8201" width="14.140625" customWidth="1"/>
    <col min="8449" max="8457" width="14.140625" customWidth="1"/>
    <col min="8705" max="8713" width="14.140625" customWidth="1"/>
    <col min="8961" max="8969" width="14.140625" customWidth="1"/>
    <col min="9217" max="9225" width="14.140625" customWidth="1"/>
    <col min="9473" max="9481" width="14.140625" customWidth="1"/>
    <col min="9729" max="9737" width="14.140625" customWidth="1"/>
    <col min="9985" max="9993" width="14.140625" customWidth="1"/>
    <col min="10241" max="10249" width="14.140625" customWidth="1"/>
    <col min="10497" max="10505" width="14.140625" customWidth="1"/>
    <col min="10753" max="10761" width="14.140625" customWidth="1"/>
    <col min="11009" max="11017" width="14.140625" customWidth="1"/>
    <col min="11265" max="11273" width="14.140625" customWidth="1"/>
    <col min="11521" max="11529" width="14.140625" customWidth="1"/>
    <col min="11777" max="11785" width="14.140625" customWidth="1"/>
    <col min="12033" max="12041" width="14.140625" customWidth="1"/>
    <col min="12289" max="12297" width="14.140625" customWidth="1"/>
    <col min="12545" max="12553" width="14.140625" customWidth="1"/>
    <col min="12801" max="12809" width="14.140625" customWidth="1"/>
    <col min="13057" max="13065" width="14.140625" customWidth="1"/>
    <col min="13313" max="13321" width="14.140625" customWidth="1"/>
    <col min="13569" max="13577" width="14.140625" customWidth="1"/>
    <col min="13825" max="13833" width="14.140625" customWidth="1"/>
    <col min="14081" max="14089" width="14.140625" customWidth="1"/>
    <col min="14337" max="14345" width="14.140625" customWidth="1"/>
    <col min="14593" max="14601" width="14.140625" customWidth="1"/>
    <col min="14849" max="14857" width="14.140625" customWidth="1"/>
    <col min="15105" max="15113" width="14.140625" customWidth="1"/>
    <col min="15361" max="15369" width="14.140625" customWidth="1"/>
    <col min="15617" max="15625" width="14.140625" customWidth="1"/>
    <col min="15873" max="15881" width="14.140625" customWidth="1"/>
    <col min="16129" max="16137" width="14.140625" customWidth="1"/>
  </cols>
  <sheetData>
    <row r="1" spans="1:9" ht="55.5" customHeight="1" thickBot="1" x14ac:dyDescent="0.3">
      <c r="A1" s="517" t="s">
        <v>106</v>
      </c>
      <c r="B1" s="517"/>
      <c r="C1" s="517"/>
      <c r="D1" s="517"/>
      <c r="F1" s="517" t="s">
        <v>107</v>
      </c>
      <c r="G1" s="517"/>
      <c r="H1" s="517"/>
      <c r="I1" s="517"/>
    </row>
    <row r="2" spans="1:9" ht="23.25" thickTop="1" x14ac:dyDescent="0.25">
      <c r="A2" s="29" t="s">
        <v>37</v>
      </c>
      <c r="B2" s="29" t="s">
        <v>38</v>
      </c>
      <c r="C2" s="29" t="s">
        <v>39</v>
      </c>
      <c r="D2" s="29" t="s">
        <v>40</v>
      </c>
      <c r="F2" s="29" t="s">
        <v>37</v>
      </c>
      <c r="G2" s="29" t="s">
        <v>38</v>
      </c>
      <c r="H2" s="29" t="s">
        <v>39</v>
      </c>
      <c r="I2" s="29" t="s">
        <v>40</v>
      </c>
    </row>
    <row r="3" spans="1:9" ht="22.5" x14ac:dyDescent="0.25">
      <c r="A3" s="30"/>
      <c r="B3" s="30"/>
      <c r="C3" s="30"/>
      <c r="D3" s="30" t="s">
        <v>41</v>
      </c>
      <c r="F3" s="30"/>
      <c r="G3" s="30"/>
      <c r="H3" s="30"/>
      <c r="I3" s="30" t="s">
        <v>41</v>
      </c>
    </row>
    <row r="4" spans="1:9" ht="15.75" thickBot="1" x14ac:dyDescent="0.3">
      <c r="A4" s="31" t="s">
        <v>42</v>
      </c>
      <c r="B4" s="31" t="s">
        <v>42</v>
      </c>
      <c r="C4" s="31" t="s">
        <v>42</v>
      </c>
      <c r="D4" s="31" t="s">
        <v>43</v>
      </c>
      <c r="F4" s="31" t="s">
        <v>42</v>
      </c>
      <c r="G4" s="31" t="s">
        <v>42</v>
      </c>
      <c r="H4" s="31" t="s">
        <v>42</v>
      </c>
      <c r="I4" s="31" t="s">
        <v>43</v>
      </c>
    </row>
    <row r="5" spans="1:9" ht="15.75" thickTop="1" x14ac:dyDescent="0.25">
      <c r="A5" s="32">
        <v>0.01</v>
      </c>
      <c r="B5" s="32">
        <v>578.52</v>
      </c>
      <c r="C5" s="32">
        <v>0</v>
      </c>
      <c r="D5" s="33">
        <v>1.9199999999999998E-2</v>
      </c>
      <c r="F5" s="30">
        <v>0.01</v>
      </c>
      <c r="G5" s="34">
        <v>1157.04</v>
      </c>
      <c r="H5" s="32">
        <v>0</v>
      </c>
      <c r="I5" s="33">
        <v>1.9199999999999998E-2</v>
      </c>
    </row>
    <row r="6" spans="1:9" x14ac:dyDescent="0.25">
      <c r="A6" s="32">
        <v>578.53</v>
      </c>
      <c r="B6" s="35">
        <v>4910.18</v>
      </c>
      <c r="C6" s="32">
        <v>11.11</v>
      </c>
      <c r="D6" s="33">
        <v>6.4000000000000001E-2</v>
      </c>
      <c r="F6" s="34">
        <v>1157.05</v>
      </c>
      <c r="G6" s="34">
        <v>9820.36</v>
      </c>
      <c r="H6" s="32">
        <v>22.22</v>
      </c>
      <c r="I6" s="33">
        <v>6.4000000000000001E-2</v>
      </c>
    </row>
    <row r="7" spans="1:9" x14ac:dyDescent="0.25">
      <c r="A7" s="35">
        <v>4910.1899999999996</v>
      </c>
      <c r="B7" s="35">
        <v>8629.2000000000007</v>
      </c>
      <c r="C7" s="32">
        <v>288.33</v>
      </c>
      <c r="D7" s="33">
        <v>0.10879999999999999</v>
      </c>
      <c r="F7" s="34">
        <v>9820.3700000000008</v>
      </c>
      <c r="G7" s="34">
        <v>17258.400000000001</v>
      </c>
      <c r="H7" s="32">
        <v>576.66</v>
      </c>
      <c r="I7" s="33">
        <v>0.10879999999999999</v>
      </c>
    </row>
    <row r="8" spans="1:9" x14ac:dyDescent="0.25">
      <c r="A8" s="35">
        <v>8629.2099999999991</v>
      </c>
      <c r="B8" s="35">
        <v>10031.07</v>
      </c>
      <c r="C8" s="32">
        <v>692.96</v>
      </c>
      <c r="D8" s="33">
        <v>0.16</v>
      </c>
      <c r="F8" s="34">
        <v>17258.41</v>
      </c>
      <c r="G8" s="34">
        <v>20062.14</v>
      </c>
      <c r="H8" s="35">
        <v>1385.92</v>
      </c>
      <c r="I8" s="33">
        <v>0.16</v>
      </c>
    </row>
    <row r="9" spans="1:9" x14ac:dyDescent="0.25">
      <c r="A9" s="35">
        <v>10031.08</v>
      </c>
      <c r="B9" s="35">
        <v>12009.94</v>
      </c>
      <c r="C9" s="32">
        <v>917.26</v>
      </c>
      <c r="D9" s="33">
        <v>0.1792</v>
      </c>
      <c r="F9" s="34">
        <v>20062.150000000001</v>
      </c>
      <c r="G9" s="34">
        <v>24019.88</v>
      </c>
      <c r="H9" s="35">
        <v>1834.52</v>
      </c>
      <c r="I9" s="33">
        <v>0.1792</v>
      </c>
    </row>
    <row r="10" spans="1:9" x14ac:dyDescent="0.25">
      <c r="A10" s="35">
        <v>12009.95</v>
      </c>
      <c r="B10" s="35">
        <v>24222.31</v>
      </c>
      <c r="C10" s="35">
        <v>1271.8699999999999</v>
      </c>
      <c r="D10" s="33">
        <v>0.21360000000000001</v>
      </c>
      <c r="F10" s="34">
        <v>24019.89</v>
      </c>
      <c r="G10" s="34">
        <v>48444.62</v>
      </c>
      <c r="H10" s="35">
        <v>2543.7399999999998</v>
      </c>
      <c r="I10" s="33">
        <v>0.21360000000000001</v>
      </c>
    </row>
    <row r="11" spans="1:9" x14ac:dyDescent="0.25">
      <c r="A11" s="35">
        <v>24222.32</v>
      </c>
      <c r="B11" s="35">
        <v>38177.69</v>
      </c>
      <c r="C11" s="35">
        <v>3880.44</v>
      </c>
      <c r="D11" s="33">
        <v>0.23519999999999999</v>
      </c>
      <c r="F11" s="34">
        <v>48444.63</v>
      </c>
      <c r="G11" s="34">
        <v>76355.38</v>
      </c>
      <c r="H11" s="35">
        <v>7760.88</v>
      </c>
      <c r="I11" s="33">
        <v>0.23519999999999999</v>
      </c>
    </row>
    <row r="12" spans="1:9" x14ac:dyDescent="0.25">
      <c r="A12" s="35">
        <v>38177.699999999997</v>
      </c>
      <c r="B12" s="35">
        <v>72887.5</v>
      </c>
      <c r="C12" s="35">
        <v>7162.74</v>
      </c>
      <c r="D12" s="33">
        <v>0.3</v>
      </c>
      <c r="F12" s="34">
        <v>76355.39</v>
      </c>
      <c r="G12" s="34">
        <v>145775</v>
      </c>
      <c r="H12" s="35">
        <v>14325.48</v>
      </c>
      <c r="I12" s="33">
        <v>0.3</v>
      </c>
    </row>
    <row r="13" spans="1:9" x14ac:dyDescent="0.25">
      <c r="A13" s="35">
        <v>72887.509999999995</v>
      </c>
      <c r="B13" s="35">
        <v>97183.33</v>
      </c>
      <c r="C13" s="35">
        <v>17575.689999999999</v>
      </c>
      <c r="D13" s="33">
        <v>0.32</v>
      </c>
      <c r="F13" s="34">
        <v>145775.01</v>
      </c>
      <c r="G13" s="34">
        <v>194366.66</v>
      </c>
      <c r="H13" s="35">
        <v>35151.379999999997</v>
      </c>
      <c r="I13" s="33">
        <v>0.32</v>
      </c>
    </row>
    <row r="14" spans="1:9" x14ac:dyDescent="0.25">
      <c r="A14" s="35">
        <v>97183.34</v>
      </c>
      <c r="B14" s="35">
        <v>291550</v>
      </c>
      <c r="C14" s="35">
        <v>25350.35</v>
      </c>
      <c r="D14" s="33">
        <v>0.34</v>
      </c>
      <c r="F14" s="34">
        <v>194366.67</v>
      </c>
      <c r="G14" s="34">
        <v>583100</v>
      </c>
      <c r="H14" s="35">
        <v>50700.7</v>
      </c>
      <c r="I14" s="33">
        <v>0.34</v>
      </c>
    </row>
    <row r="15" spans="1:9" ht="15.75" thickBot="1" x14ac:dyDescent="0.3">
      <c r="A15" s="36">
        <v>291550.01</v>
      </c>
      <c r="B15" s="37" t="s">
        <v>44</v>
      </c>
      <c r="C15" s="36">
        <v>91435.02</v>
      </c>
      <c r="D15" s="38">
        <v>0.35</v>
      </c>
      <c r="F15" s="39">
        <v>583100.01</v>
      </c>
      <c r="G15" s="31" t="s">
        <v>44</v>
      </c>
      <c r="H15" s="36">
        <v>182870.04</v>
      </c>
      <c r="I15" s="38">
        <v>0.35</v>
      </c>
    </row>
    <row r="16" spans="1:9" ht="16.5" thickTop="1" thickBot="1" x14ac:dyDescent="0.3">
      <c r="A16" s="40"/>
      <c r="B16" s="41"/>
      <c r="C16" s="41"/>
      <c r="D16" s="41"/>
    </row>
    <row r="17" spans="1:9" ht="60.75" customHeight="1" thickTop="1" thickBot="1" x14ac:dyDescent="0.3">
      <c r="A17" s="518" t="s">
        <v>118</v>
      </c>
      <c r="B17" s="518"/>
      <c r="C17" s="518"/>
      <c r="D17" s="518"/>
      <c r="F17" s="517" t="s">
        <v>119</v>
      </c>
      <c r="G17" s="517"/>
      <c r="H17" s="517"/>
      <c r="I17" s="517"/>
    </row>
    <row r="18" spans="1:9" ht="23.25" thickTop="1" x14ac:dyDescent="0.25">
      <c r="A18" s="42" t="s">
        <v>37</v>
      </c>
      <c r="B18" s="29" t="s">
        <v>38</v>
      </c>
      <c r="C18" s="29" t="s">
        <v>39</v>
      </c>
      <c r="D18" s="29" t="s">
        <v>40</v>
      </c>
      <c r="F18" s="42" t="s">
        <v>37</v>
      </c>
      <c r="G18" s="29" t="s">
        <v>38</v>
      </c>
      <c r="H18" s="29" t="s">
        <v>39</v>
      </c>
      <c r="I18" s="29" t="s">
        <v>40</v>
      </c>
    </row>
    <row r="19" spans="1:9" ht="22.5" x14ac:dyDescent="0.25">
      <c r="A19" s="30"/>
      <c r="B19" s="30"/>
      <c r="C19" s="30"/>
      <c r="D19" s="30" t="s">
        <v>41</v>
      </c>
      <c r="F19" s="30"/>
      <c r="G19" s="30"/>
      <c r="H19" s="30"/>
      <c r="I19" s="30" t="s">
        <v>41</v>
      </c>
    </row>
    <row r="20" spans="1:9" ht="15.75" thickBot="1" x14ac:dyDescent="0.3">
      <c r="A20" s="31" t="s">
        <v>42</v>
      </c>
      <c r="B20" s="31" t="s">
        <v>42</v>
      </c>
      <c r="C20" s="31" t="s">
        <v>42</v>
      </c>
      <c r="D20" s="31" t="s">
        <v>43</v>
      </c>
      <c r="F20" s="31" t="s">
        <v>42</v>
      </c>
      <c r="G20" s="31" t="s">
        <v>42</v>
      </c>
      <c r="H20" s="31" t="s">
        <v>42</v>
      </c>
      <c r="I20" s="31" t="s">
        <v>43</v>
      </c>
    </row>
    <row r="21" spans="1:9" ht="15.75" thickTop="1" x14ac:dyDescent="0.25">
      <c r="A21" s="32">
        <v>0.01</v>
      </c>
      <c r="B21" s="35">
        <v>1735.56</v>
      </c>
      <c r="C21" s="32">
        <v>0</v>
      </c>
      <c r="D21" s="33">
        <v>1.9199999999999998E-2</v>
      </c>
      <c r="F21" s="32">
        <v>0.01</v>
      </c>
      <c r="G21" s="35">
        <v>2314.08</v>
      </c>
      <c r="H21" s="32">
        <v>0</v>
      </c>
      <c r="I21" s="33">
        <v>1.9199999999999998E-2</v>
      </c>
    </row>
    <row r="22" spans="1:9" x14ac:dyDescent="0.25">
      <c r="A22" s="35">
        <v>1735.57</v>
      </c>
      <c r="B22" s="35">
        <v>14730.54</v>
      </c>
      <c r="C22" s="32">
        <v>33.33</v>
      </c>
      <c r="D22" s="33">
        <v>6.4000000000000001E-2</v>
      </c>
      <c r="F22" s="35">
        <v>2314.09</v>
      </c>
      <c r="G22" s="35">
        <v>19640.72</v>
      </c>
      <c r="H22" s="32">
        <v>44.44</v>
      </c>
      <c r="I22" s="33">
        <v>6.4000000000000001E-2</v>
      </c>
    </row>
    <row r="23" spans="1:9" x14ac:dyDescent="0.25">
      <c r="A23" s="35">
        <v>14730.55</v>
      </c>
      <c r="B23" s="35">
        <v>25887.599999999999</v>
      </c>
      <c r="C23" s="32">
        <v>864.99</v>
      </c>
      <c r="D23" s="33">
        <v>0.10879999999999999</v>
      </c>
      <c r="F23" s="35">
        <v>19640.73</v>
      </c>
      <c r="G23" s="35">
        <v>34516.800000000003</v>
      </c>
      <c r="H23" s="35">
        <v>1153.32</v>
      </c>
      <c r="I23" s="33">
        <v>0.10879999999999999</v>
      </c>
    </row>
    <row r="24" spans="1:9" x14ac:dyDescent="0.25">
      <c r="A24" s="35">
        <v>25887.61</v>
      </c>
      <c r="B24" s="35">
        <v>30093.21</v>
      </c>
      <c r="C24" s="35">
        <v>2078.88</v>
      </c>
      <c r="D24" s="33">
        <v>0.16</v>
      </c>
      <c r="F24" s="35">
        <v>34516.81</v>
      </c>
      <c r="G24" s="35">
        <v>40124.28</v>
      </c>
      <c r="H24" s="35">
        <v>2771.84</v>
      </c>
      <c r="I24" s="33">
        <v>0.16</v>
      </c>
    </row>
    <row r="25" spans="1:9" x14ac:dyDescent="0.25">
      <c r="A25" s="35">
        <v>30093.22</v>
      </c>
      <c r="B25" s="35">
        <v>36029.82</v>
      </c>
      <c r="C25" s="35">
        <v>2751.78</v>
      </c>
      <c r="D25" s="33">
        <v>0.1792</v>
      </c>
      <c r="F25" s="35">
        <v>40124.29</v>
      </c>
      <c r="G25" s="35">
        <v>48039.76</v>
      </c>
      <c r="H25" s="35">
        <v>3669.04</v>
      </c>
      <c r="I25" s="33">
        <v>0.1792</v>
      </c>
    </row>
    <row r="26" spans="1:9" x14ac:dyDescent="0.25">
      <c r="A26" s="35">
        <v>36029.83</v>
      </c>
      <c r="B26" s="35">
        <v>72666.929999999993</v>
      </c>
      <c r="C26" s="35">
        <v>3815.61</v>
      </c>
      <c r="D26" s="33">
        <v>0.21360000000000001</v>
      </c>
      <c r="F26" s="35">
        <v>48039.77</v>
      </c>
      <c r="G26" s="35">
        <v>96889.24</v>
      </c>
      <c r="H26" s="35">
        <v>5087.4799999999996</v>
      </c>
      <c r="I26" s="33">
        <v>0.21360000000000001</v>
      </c>
    </row>
    <row r="27" spans="1:9" x14ac:dyDescent="0.25">
      <c r="A27" s="35">
        <v>72666.94</v>
      </c>
      <c r="B27" s="35">
        <v>114533.07</v>
      </c>
      <c r="C27" s="35">
        <v>11641.32</v>
      </c>
      <c r="D27" s="33">
        <v>0.23519999999999999</v>
      </c>
      <c r="F27" s="35">
        <v>96889.25</v>
      </c>
      <c r="G27" s="35">
        <v>152710.76</v>
      </c>
      <c r="H27" s="35">
        <v>15521.76</v>
      </c>
      <c r="I27" s="33">
        <v>0.23519999999999999</v>
      </c>
    </row>
    <row r="28" spans="1:9" x14ac:dyDescent="0.25">
      <c r="A28" s="35">
        <v>114533.08</v>
      </c>
      <c r="B28" s="35">
        <v>218662.5</v>
      </c>
      <c r="C28" s="35">
        <v>21488.22</v>
      </c>
      <c r="D28" s="33">
        <v>0.3</v>
      </c>
      <c r="F28" s="35">
        <v>152710.76999999999</v>
      </c>
      <c r="G28" s="35">
        <v>291550</v>
      </c>
      <c r="H28" s="35">
        <v>28650.959999999999</v>
      </c>
      <c r="I28" s="33">
        <v>0.3</v>
      </c>
    </row>
    <row r="29" spans="1:9" x14ac:dyDescent="0.25">
      <c r="A29" s="35">
        <v>218662.51</v>
      </c>
      <c r="B29" s="35">
        <v>291549.99</v>
      </c>
      <c r="C29" s="35">
        <v>52727.07</v>
      </c>
      <c r="D29" s="33">
        <v>0.32</v>
      </c>
      <c r="F29" s="35">
        <v>291550.01</v>
      </c>
      <c r="G29" s="35">
        <v>388733.32</v>
      </c>
      <c r="H29" s="35">
        <v>70302.759999999995</v>
      </c>
      <c r="I29" s="33">
        <v>0.32</v>
      </c>
    </row>
    <row r="30" spans="1:9" x14ac:dyDescent="0.25">
      <c r="A30" s="35">
        <v>291550</v>
      </c>
      <c r="B30" s="35">
        <v>874650</v>
      </c>
      <c r="C30" s="35">
        <v>76051.05</v>
      </c>
      <c r="D30" s="33">
        <v>0.34</v>
      </c>
      <c r="F30" s="35">
        <v>388733.33</v>
      </c>
      <c r="G30" s="35">
        <v>1166200</v>
      </c>
      <c r="H30" s="35">
        <v>101401.4</v>
      </c>
      <c r="I30" s="33">
        <v>0.34</v>
      </c>
    </row>
    <row r="31" spans="1:9" ht="15.75" thickBot="1" x14ac:dyDescent="0.3">
      <c r="A31" s="36">
        <v>874650.01</v>
      </c>
      <c r="B31" s="37" t="s">
        <v>44</v>
      </c>
      <c r="C31" s="36">
        <v>274305.06</v>
      </c>
      <c r="D31" s="38">
        <v>0.35</v>
      </c>
      <c r="F31" s="36">
        <v>1166200.01</v>
      </c>
      <c r="G31" s="37" t="s">
        <v>44</v>
      </c>
      <c r="H31" s="36">
        <v>365740.08</v>
      </c>
      <c r="I31" s="38">
        <v>0.35</v>
      </c>
    </row>
    <row r="32" spans="1:9" ht="16.5" thickTop="1" thickBot="1" x14ac:dyDescent="0.3">
      <c r="A32" s="41"/>
      <c r="B32" s="41"/>
      <c r="C32" s="41"/>
      <c r="D32" s="41"/>
    </row>
    <row r="33" spans="1:9" ht="63" customHeight="1" thickTop="1" thickBot="1" x14ac:dyDescent="0.3">
      <c r="A33" s="518" t="s">
        <v>121</v>
      </c>
      <c r="B33" s="518"/>
      <c r="C33" s="518"/>
      <c r="D33" s="518"/>
      <c r="F33" s="517" t="s">
        <v>120</v>
      </c>
      <c r="G33" s="517"/>
      <c r="H33" s="517"/>
      <c r="I33" s="517"/>
    </row>
    <row r="34" spans="1:9" ht="23.25" thickTop="1" x14ac:dyDescent="0.25">
      <c r="A34" s="29" t="s">
        <v>37</v>
      </c>
      <c r="B34" s="29" t="s">
        <v>38</v>
      </c>
      <c r="C34" s="29" t="s">
        <v>39</v>
      </c>
      <c r="D34" s="29" t="s">
        <v>40</v>
      </c>
      <c r="F34" s="42" t="s">
        <v>37</v>
      </c>
      <c r="G34" s="29" t="s">
        <v>38</v>
      </c>
      <c r="H34" s="29" t="s">
        <v>39</v>
      </c>
      <c r="I34" s="29" t="s">
        <v>40</v>
      </c>
    </row>
    <row r="35" spans="1:9" ht="22.5" x14ac:dyDescent="0.25">
      <c r="A35" s="30"/>
      <c r="B35" s="30"/>
      <c r="C35" s="30"/>
      <c r="D35" s="30" t="s">
        <v>41</v>
      </c>
      <c r="F35" s="30"/>
      <c r="G35" s="30"/>
      <c r="H35" s="30"/>
      <c r="I35" s="30" t="s">
        <v>41</v>
      </c>
    </row>
    <row r="36" spans="1:9" ht="15.75" thickBot="1" x14ac:dyDescent="0.3">
      <c r="A36" s="31" t="s">
        <v>42</v>
      </c>
      <c r="B36" s="31" t="s">
        <v>42</v>
      </c>
      <c r="C36" s="31" t="s">
        <v>42</v>
      </c>
      <c r="D36" s="31" t="s">
        <v>43</v>
      </c>
      <c r="F36" s="31" t="s">
        <v>42</v>
      </c>
      <c r="G36" s="31" t="s">
        <v>42</v>
      </c>
      <c r="H36" s="31" t="s">
        <v>42</v>
      </c>
      <c r="I36" s="31" t="s">
        <v>43</v>
      </c>
    </row>
    <row r="37" spans="1:9" ht="15.75" thickTop="1" x14ac:dyDescent="0.25">
      <c r="A37" s="32">
        <v>0.01</v>
      </c>
      <c r="B37" s="35">
        <v>2892.6</v>
      </c>
      <c r="C37" s="32">
        <v>0</v>
      </c>
      <c r="D37" s="33">
        <v>1.9199999999999998E-2</v>
      </c>
      <c r="F37" s="32">
        <v>0.01</v>
      </c>
      <c r="G37" s="35">
        <v>3471.12</v>
      </c>
      <c r="H37" s="32">
        <v>0</v>
      </c>
      <c r="I37" s="33">
        <v>1.9199999999999998E-2</v>
      </c>
    </row>
    <row r="38" spans="1:9" x14ac:dyDescent="0.25">
      <c r="A38" s="35">
        <v>2892.61</v>
      </c>
      <c r="B38" s="35">
        <v>24550.9</v>
      </c>
      <c r="C38" s="32">
        <v>55.55</v>
      </c>
      <c r="D38" s="33">
        <v>6.4000000000000001E-2</v>
      </c>
      <c r="F38" s="35">
        <v>3471.13</v>
      </c>
      <c r="G38" s="35">
        <v>29461.08</v>
      </c>
      <c r="H38" s="32">
        <v>66.66</v>
      </c>
      <c r="I38" s="33">
        <v>6.4000000000000001E-2</v>
      </c>
    </row>
    <row r="39" spans="1:9" x14ac:dyDescent="0.25">
      <c r="A39" s="35">
        <v>24550.91</v>
      </c>
      <c r="B39" s="35">
        <v>43146</v>
      </c>
      <c r="C39" s="35">
        <v>1441.65</v>
      </c>
      <c r="D39" s="33">
        <v>0.10879999999999999</v>
      </c>
      <c r="F39" s="35">
        <v>29461.09</v>
      </c>
      <c r="G39" s="35">
        <v>51775.199999999997</v>
      </c>
      <c r="H39" s="35">
        <v>1729.98</v>
      </c>
      <c r="I39" s="33">
        <v>0.10879999999999999</v>
      </c>
    </row>
    <row r="40" spans="1:9" x14ac:dyDescent="0.25">
      <c r="A40" s="35">
        <v>43146.01</v>
      </c>
      <c r="B40" s="35">
        <v>50155.35</v>
      </c>
      <c r="C40" s="35">
        <v>3464.8</v>
      </c>
      <c r="D40" s="33">
        <v>0.16</v>
      </c>
      <c r="F40" s="35">
        <v>51775.21</v>
      </c>
      <c r="G40" s="35">
        <v>60186.42</v>
      </c>
      <c r="H40" s="35">
        <v>4157.76</v>
      </c>
      <c r="I40" s="33">
        <v>0.16</v>
      </c>
    </row>
    <row r="41" spans="1:9" x14ac:dyDescent="0.25">
      <c r="A41" s="35">
        <v>50155.360000000001</v>
      </c>
      <c r="B41" s="35">
        <v>60049.7</v>
      </c>
      <c r="C41" s="35">
        <v>4586.3</v>
      </c>
      <c r="D41" s="33">
        <v>0.1792</v>
      </c>
      <c r="F41" s="35">
        <v>60186.43</v>
      </c>
      <c r="G41" s="35">
        <v>72059.64</v>
      </c>
      <c r="H41" s="35">
        <v>5503.56</v>
      </c>
      <c r="I41" s="33">
        <v>0.1792</v>
      </c>
    </row>
    <row r="42" spans="1:9" x14ac:dyDescent="0.25">
      <c r="A42" s="35">
        <v>60049.71</v>
      </c>
      <c r="B42" s="35">
        <v>121111.55</v>
      </c>
      <c r="C42" s="35">
        <v>6359.35</v>
      </c>
      <c r="D42" s="33">
        <v>0.21360000000000001</v>
      </c>
      <c r="F42" s="35">
        <v>72059.649999999994</v>
      </c>
      <c r="G42" s="35">
        <v>145333.85999999999</v>
      </c>
      <c r="H42" s="35">
        <v>7631.22</v>
      </c>
      <c r="I42" s="33">
        <v>0.21360000000000001</v>
      </c>
    </row>
    <row r="43" spans="1:9" x14ac:dyDescent="0.25">
      <c r="A43" s="35">
        <v>121111.56</v>
      </c>
      <c r="B43" s="35">
        <v>190888.45</v>
      </c>
      <c r="C43" s="35">
        <v>19402.2</v>
      </c>
      <c r="D43" s="33">
        <v>0.23519999999999999</v>
      </c>
      <c r="F43" s="35">
        <v>145333.87</v>
      </c>
      <c r="G43" s="35">
        <v>229066.14</v>
      </c>
      <c r="H43" s="35">
        <v>23282.639999999999</v>
      </c>
      <c r="I43" s="33">
        <v>0.23519999999999999</v>
      </c>
    </row>
    <row r="44" spans="1:9" x14ac:dyDescent="0.25">
      <c r="A44" s="35">
        <v>190888.46</v>
      </c>
      <c r="B44" s="35">
        <v>364437.5</v>
      </c>
      <c r="C44" s="35">
        <v>35813.699999999997</v>
      </c>
      <c r="D44" s="33">
        <v>0.3</v>
      </c>
      <c r="F44" s="35">
        <v>229066.15</v>
      </c>
      <c r="G44" s="35">
        <v>437325</v>
      </c>
      <c r="H44" s="35">
        <v>42976.44</v>
      </c>
      <c r="I44" s="33">
        <v>0.3</v>
      </c>
    </row>
    <row r="45" spans="1:9" x14ac:dyDescent="0.25">
      <c r="A45" s="35">
        <v>364437.51</v>
      </c>
      <c r="B45" s="35">
        <v>485916.65</v>
      </c>
      <c r="C45" s="35">
        <v>87878.45</v>
      </c>
      <c r="D45" s="33">
        <v>0.32</v>
      </c>
      <c r="F45" s="35">
        <v>437325.01</v>
      </c>
      <c r="G45" s="35">
        <v>583099.98</v>
      </c>
      <c r="H45" s="35">
        <v>105454.14</v>
      </c>
      <c r="I45" s="33">
        <v>0.32</v>
      </c>
    </row>
    <row r="46" spans="1:9" x14ac:dyDescent="0.25">
      <c r="A46" s="35">
        <v>485916.66</v>
      </c>
      <c r="B46" s="35">
        <v>1457750</v>
      </c>
      <c r="C46" s="35">
        <v>126751.75</v>
      </c>
      <c r="D46" s="33">
        <v>0.34</v>
      </c>
      <c r="F46" s="35">
        <v>583099.99</v>
      </c>
      <c r="G46" s="35">
        <v>1749300</v>
      </c>
      <c r="H46" s="35">
        <v>152102.1</v>
      </c>
      <c r="I46" s="33">
        <v>0.34</v>
      </c>
    </row>
    <row r="47" spans="1:9" ht="15.75" thickBot="1" x14ac:dyDescent="0.3">
      <c r="A47" s="36">
        <v>1457750.01</v>
      </c>
      <c r="B47" s="37" t="s">
        <v>44</v>
      </c>
      <c r="C47" s="36">
        <v>457175.1</v>
      </c>
      <c r="D47" s="38">
        <v>0.35</v>
      </c>
      <c r="F47" s="36">
        <v>1749300.01</v>
      </c>
      <c r="G47" s="37" t="s">
        <v>44</v>
      </c>
      <c r="H47" s="36">
        <v>548610.12</v>
      </c>
      <c r="I47" s="38">
        <v>0.35</v>
      </c>
    </row>
    <row r="48" spans="1:9" ht="16.5" thickTop="1" thickBot="1" x14ac:dyDescent="0.3">
      <c r="A48" s="41"/>
      <c r="B48" s="41"/>
      <c r="C48" s="41"/>
      <c r="D48" s="41"/>
    </row>
    <row r="49" spans="1:9" ht="62.25" customHeight="1" thickTop="1" thickBot="1" x14ac:dyDescent="0.3">
      <c r="A49" s="518" t="s">
        <v>112</v>
      </c>
      <c r="B49" s="518"/>
      <c r="C49" s="518"/>
      <c r="D49" s="518"/>
      <c r="F49" s="517" t="s">
        <v>113</v>
      </c>
      <c r="G49" s="517"/>
      <c r="H49" s="517"/>
      <c r="I49" s="517"/>
    </row>
    <row r="50" spans="1:9" ht="23.25" thickTop="1" x14ac:dyDescent="0.25">
      <c r="A50" s="42" t="s">
        <v>37</v>
      </c>
      <c r="B50" s="29" t="s">
        <v>38</v>
      </c>
      <c r="C50" s="29" t="s">
        <v>39</v>
      </c>
      <c r="D50" s="29" t="s">
        <v>40</v>
      </c>
      <c r="F50" s="29" t="s">
        <v>37</v>
      </c>
      <c r="G50" s="29" t="s">
        <v>38</v>
      </c>
      <c r="H50" s="29" t="s">
        <v>39</v>
      </c>
      <c r="I50" s="29" t="s">
        <v>40</v>
      </c>
    </row>
    <row r="51" spans="1:9" ht="22.5" x14ac:dyDescent="0.25">
      <c r="A51" s="30"/>
      <c r="B51" s="30"/>
      <c r="C51" s="30"/>
      <c r="D51" s="30" t="s">
        <v>41</v>
      </c>
      <c r="F51" s="30"/>
      <c r="G51" s="30"/>
      <c r="H51" s="30"/>
      <c r="I51" s="30" t="s">
        <v>41</v>
      </c>
    </row>
    <row r="52" spans="1:9" ht="15.75" thickBot="1" x14ac:dyDescent="0.3">
      <c r="A52" s="31" t="s">
        <v>42</v>
      </c>
      <c r="B52" s="31" t="s">
        <v>42</v>
      </c>
      <c r="C52" s="31" t="s">
        <v>42</v>
      </c>
      <c r="D52" s="31" t="s">
        <v>43</v>
      </c>
      <c r="F52" s="31" t="s">
        <v>42</v>
      </c>
      <c r="G52" s="31" t="s">
        <v>42</v>
      </c>
      <c r="H52" s="31" t="s">
        <v>42</v>
      </c>
      <c r="I52" s="31" t="s">
        <v>43</v>
      </c>
    </row>
    <row r="53" spans="1:9" ht="15.75" thickTop="1" x14ac:dyDescent="0.25">
      <c r="A53" s="32">
        <v>0.01</v>
      </c>
      <c r="B53" s="35">
        <v>4049.64</v>
      </c>
      <c r="C53" s="32">
        <v>0</v>
      </c>
      <c r="D53" s="33">
        <v>1.9199999999999998E-2</v>
      </c>
      <c r="F53" s="32">
        <v>0.01</v>
      </c>
      <c r="G53" s="35">
        <v>4628.16</v>
      </c>
      <c r="H53" s="32">
        <v>0</v>
      </c>
      <c r="I53" s="33">
        <v>1.9199999999999998E-2</v>
      </c>
    </row>
    <row r="54" spans="1:9" x14ac:dyDescent="0.25">
      <c r="A54" s="35">
        <v>4049.65</v>
      </c>
      <c r="B54" s="35">
        <v>34371.26</v>
      </c>
      <c r="C54" s="32">
        <v>77.77</v>
      </c>
      <c r="D54" s="33">
        <v>6.4000000000000001E-2</v>
      </c>
      <c r="F54" s="35">
        <v>4628.17</v>
      </c>
      <c r="G54" s="35">
        <v>39281.440000000002</v>
      </c>
      <c r="H54" s="32">
        <v>88.88</v>
      </c>
      <c r="I54" s="33">
        <v>6.4000000000000001E-2</v>
      </c>
    </row>
    <row r="55" spans="1:9" x14ac:dyDescent="0.25">
      <c r="A55" s="35">
        <v>34371.269999999997</v>
      </c>
      <c r="B55" s="35">
        <v>60404.4</v>
      </c>
      <c r="C55" s="35">
        <v>2018.31</v>
      </c>
      <c r="D55" s="33">
        <v>0.10879999999999999</v>
      </c>
      <c r="F55" s="35">
        <v>39281.449999999997</v>
      </c>
      <c r="G55" s="35">
        <v>69033.600000000006</v>
      </c>
      <c r="H55" s="35">
        <v>2306.64</v>
      </c>
      <c r="I55" s="33">
        <v>0.10879999999999999</v>
      </c>
    </row>
    <row r="56" spans="1:9" x14ac:dyDescent="0.25">
      <c r="A56" s="35">
        <v>60404.41</v>
      </c>
      <c r="B56" s="35">
        <v>70217.490000000005</v>
      </c>
      <c r="C56" s="35">
        <v>4850.72</v>
      </c>
      <c r="D56" s="33">
        <v>0.16</v>
      </c>
      <c r="F56" s="35">
        <v>69033.61</v>
      </c>
      <c r="G56" s="35">
        <v>80248.56</v>
      </c>
      <c r="H56" s="35">
        <v>5543.68</v>
      </c>
      <c r="I56" s="33">
        <v>0.16</v>
      </c>
    </row>
    <row r="57" spans="1:9" x14ac:dyDescent="0.25">
      <c r="A57" s="35">
        <v>70217.5</v>
      </c>
      <c r="B57" s="35">
        <v>84069.58</v>
      </c>
      <c r="C57" s="35">
        <v>6420.82</v>
      </c>
      <c r="D57" s="33">
        <v>0.1792</v>
      </c>
      <c r="F57" s="35">
        <v>80248.570000000007</v>
      </c>
      <c r="G57" s="35">
        <v>96079.52</v>
      </c>
      <c r="H57" s="35">
        <v>7338.08</v>
      </c>
      <c r="I57" s="33">
        <v>0.1792</v>
      </c>
    </row>
    <row r="58" spans="1:9" x14ac:dyDescent="0.25">
      <c r="A58" s="35">
        <v>84069.59</v>
      </c>
      <c r="B58" s="35">
        <v>169556.17</v>
      </c>
      <c r="C58" s="35">
        <v>8903.09</v>
      </c>
      <c r="D58" s="33">
        <v>0.21360000000000001</v>
      </c>
      <c r="F58" s="35">
        <v>96079.53</v>
      </c>
      <c r="G58" s="35">
        <v>193778.48</v>
      </c>
      <c r="H58" s="35">
        <v>10174.959999999999</v>
      </c>
      <c r="I58" s="33">
        <v>0.21360000000000001</v>
      </c>
    </row>
    <row r="59" spans="1:9" x14ac:dyDescent="0.25">
      <c r="A59" s="35">
        <v>169556.18</v>
      </c>
      <c r="B59" s="35">
        <v>267243.83</v>
      </c>
      <c r="C59" s="35">
        <v>27163.08</v>
      </c>
      <c r="D59" s="33">
        <v>0.23519999999999999</v>
      </c>
      <c r="F59" s="35">
        <v>193778.49</v>
      </c>
      <c r="G59" s="35">
        <v>305421.52</v>
      </c>
      <c r="H59" s="35">
        <v>31043.52</v>
      </c>
      <c r="I59" s="33">
        <v>0.23519999999999999</v>
      </c>
    </row>
    <row r="60" spans="1:9" x14ac:dyDescent="0.25">
      <c r="A60" s="35">
        <v>267243.84000000003</v>
      </c>
      <c r="B60" s="35">
        <v>510212.5</v>
      </c>
      <c r="C60" s="35">
        <v>50139.18</v>
      </c>
      <c r="D60" s="33">
        <v>0.3</v>
      </c>
      <c r="F60" s="35">
        <v>305421.53000000003</v>
      </c>
      <c r="G60" s="35">
        <v>583100</v>
      </c>
      <c r="H60" s="35">
        <v>57301.919999999998</v>
      </c>
      <c r="I60" s="33">
        <v>0.3</v>
      </c>
    </row>
    <row r="61" spans="1:9" x14ac:dyDescent="0.25">
      <c r="A61" s="35">
        <v>510212.51</v>
      </c>
      <c r="B61" s="35">
        <v>680283.31</v>
      </c>
      <c r="C61" s="35">
        <v>123029.83</v>
      </c>
      <c r="D61" s="33">
        <v>0.32</v>
      </c>
      <c r="F61" s="35">
        <v>583100.01</v>
      </c>
      <c r="G61" s="35">
        <v>777466.64</v>
      </c>
      <c r="H61" s="35">
        <v>140605.51999999999</v>
      </c>
      <c r="I61" s="33">
        <v>0.32</v>
      </c>
    </row>
    <row r="62" spans="1:9" x14ac:dyDescent="0.25">
      <c r="A62" s="35">
        <v>680283.32</v>
      </c>
      <c r="B62" s="35">
        <v>2040850</v>
      </c>
      <c r="C62" s="35">
        <v>177452.45</v>
      </c>
      <c r="D62" s="33">
        <v>0.34</v>
      </c>
      <c r="F62" s="35">
        <v>777466.65</v>
      </c>
      <c r="G62" s="35">
        <v>2332400</v>
      </c>
      <c r="H62" s="35">
        <v>202802.8</v>
      </c>
      <c r="I62" s="33">
        <v>0.34</v>
      </c>
    </row>
    <row r="63" spans="1:9" ht="15.75" thickBot="1" x14ac:dyDescent="0.3">
      <c r="A63" s="36">
        <v>2040850.01</v>
      </c>
      <c r="B63" s="37" t="s">
        <v>44</v>
      </c>
      <c r="C63" s="36">
        <v>640045.14</v>
      </c>
      <c r="D63" s="38">
        <v>0.35</v>
      </c>
      <c r="F63" s="36">
        <v>2332400.0099999998</v>
      </c>
      <c r="G63" s="37" t="s">
        <v>44</v>
      </c>
      <c r="H63" s="36">
        <v>731480.16</v>
      </c>
      <c r="I63" s="38">
        <v>0.35</v>
      </c>
    </row>
    <row r="64" spans="1:9" ht="16.5" thickTop="1" thickBot="1" x14ac:dyDescent="0.3">
      <c r="A64" s="40"/>
      <c r="B64" s="41"/>
      <c r="C64" s="41"/>
      <c r="D64" s="41"/>
      <c r="F64" s="41"/>
      <c r="G64" s="41"/>
      <c r="H64" s="41"/>
      <c r="I64" s="41"/>
    </row>
    <row r="65" spans="1:9" ht="58.5" customHeight="1" thickTop="1" thickBot="1" x14ac:dyDescent="0.3">
      <c r="A65" s="518" t="s">
        <v>114</v>
      </c>
      <c r="B65" s="518"/>
      <c r="C65" s="518"/>
      <c r="D65" s="518"/>
      <c r="F65" s="518" t="s">
        <v>115</v>
      </c>
      <c r="G65" s="518"/>
      <c r="H65" s="518"/>
      <c r="I65" s="518"/>
    </row>
    <row r="66" spans="1:9" ht="23.25" thickTop="1" x14ac:dyDescent="0.25">
      <c r="A66" s="29" t="s">
        <v>37</v>
      </c>
      <c r="B66" s="29" t="s">
        <v>38</v>
      </c>
      <c r="C66" s="29" t="s">
        <v>39</v>
      </c>
      <c r="D66" s="29" t="s">
        <v>40</v>
      </c>
      <c r="F66" s="42" t="s">
        <v>37</v>
      </c>
      <c r="G66" s="29" t="s">
        <v>38</v>
      </c>
      <c r="H66" s="29" t="s">
        <v>39</v>
      </c>
      <c r="I66" s="29" t="s">
        <v>40</v>
      </c>
    </row>
    <row r="67" spans="1:9" ht="22.5" x14ac:dyDescent="0.25">
      <c r="A67" s="30"/>
      <c r="B67" s="30"/>
      <c r="C67" s="30"/>
      <c r="D67" s="30" t="s">
        <v>41</v>
      </c>
      <c r="F67" s="30"/>
      <c r="G67" s="30"/>
      <c r="H67" s="30"/>
      <c r="I67" s="30" t="s">
        <v>41</v>
      </c>
    </row>
    <row r="68" spans="1:9" ht="15.75" thickBot="1" x14ac:dyDescent="0.3">
      <c r="A68" s="31" t="s">
        <v>42</v>
      </c>
      <c r="B68" s="31" t="s">
        <v>42</v>
      </c>
      <c r="C68" s="31" t="s">
        <v>42</v>
      </c>
      <c r="D68" s="31" t="s">
        <v>43</v>
      </c>
      <c r="F68" s="31" t="s">
        <v>42</v>
      </c>
      <c r="G68" s="31" t="s">
        <v>42</v>
      </c>
      <c r="H68" s="31" t="s">
        <v>42</v>
      </c>
      <c r="I68" s="31" t="s">
        <v>43</v>
      </c>
    </row>
    <row r="69" spans="1:9" ht="15.75" thickTop="1" x14ac:dyDescent="0.25">
      <c r="A69" s="32">
        <v>0.01</v>
      </c>
      <c r="B69" s="35">
        <v>5206.68</v>
      </c>
      <c r="C69" s="32">
        <v>0</v>
      </c>
      <c r="D69" s="33">
        <v>1.9199999999999998E-2</v>
      </c>
      <c r="F69" s="32">
        <v>0.01</v>
      </c>
      <c r="G69" s="35">
        <v>5785.2</v>
      </c>
      <c r="H69" s="32">
        <v>0</v>
      </c>
      <c r="I69" s="33">
        <v>1.9199999999999998E-2</v>
      </c>
    </row>
    <row r="70" spans="1:9" x14ac:dyDescent="0.25">
      <c r="A70" s="35">
        <v>5206.6899999999996</v>
      </c>
      <c r="B70" s="35">
        <v>44191.62</v>
      </c>
      <c r="C70" s="32">
        <v>99.99</v>
      </c>
      <c r="D70" s="33">
        <v>6.4000000000000001E-2</v>
      </c>
      <c r="F70" s="35">
        <v>5785.21</v>
      </c>
      <c r="G70" s="35">
        <v>49101.8</v>
      </c>
      <c r="H70" s="32">
        <v>111.1</v>
      </c>
      <c r="I70" s="33">
        <v>6.4000000000000001E-2</v>
      </c>
    </row>
    <row r="71" spans="1:9" x14ac:dyDescent="0.25">
      <c r="A71" s="35">
        <v>44191.63</v>
      </c>
      <c r="B71" s="35">
        <v>77662.8</v>
      </c>
      <c r="C71" s="35">
        <v>2594.9699999999998</v>
      </c>
      <c r="D71" s="33">
        <v>0.10879999999999999</v>
      </c>
      <c r="F71" s="35">
        <v>49101.81</v>
      </c>
      <c r="G71" s="35">
        <v>86292</v>
      </c>
      <c r="H71" s="35">
        <v>2883.3</v>
      </c>
      <c r="I71" s="33">
        <v>0.10879999999999999</v>
      </c>
    </row>
    <row r="72" spans="1:9" x14ac:dyDescent="0.25">
      <c r="A72" s="35">
        <v>77662.81</v>
      </c>
      <c r="B72" s="35">
        <v>90279.63</v>
      </c>
      <c r="C72" s="35">
        <v>6236.64</v>
      </c>
      <c r="D72" s="33">
        <v>0.16</v>
      </c>
      <c r="F72" s="35">
        <v>86292.01</v>
      </c>
      <c r="G72" s="35">
        <v>100310.7</v>
      </c>
      <c r="H72" s="35">
        <v>6929.6</v>
      </c>
      <c r="I72" s="33">
        <v>0.16</v>
      </c>
    </row>
    <row r="73" spans="1:9" x14ac:dyDescent="0.25">
      <c r="A73" s="35">
        <v>90279.64</v>
      </c>
      <c r="B73" s="35">
        <v>108089.46</v>
      </c>
      <c r="C73" s="35">
        <v>8255.34</v>
      </c>
      <c r="D73" s="33">
        <v>0.1792</v>
      </c>
      <c r="F73" s="35">
        <v>100310.71</v>
      </c>
      <c r="G73" s="35">
        <v>120099.4</v>
      </c>
      <c r="H73" s="35">
        <v>9172.6</v>
      </c>
      <c r="I73" s="33">
        <v>0.1792</v>
      </c>
    </row>
    <row r="74" spans="1:9" x14ac:dyDescent="0.25">
      <c r="A74" s="35">
        <v>108089.47</v>
      </c>
      <c r="B74" s="35">
        <v>218000.79</v>
      </c>
      <c r="C74" s="35">
        <v>11446.83</v>
      </c>
      <c r="D74" s="33">
        <v>0.21360000000000001</v>
      </c>
      <c r="F74" s="35">
        <v>120099.41</v>
      </c>
      <c r="G74" s="35">
        <v>242223.1</v>
      </c>
      <c r="H74" s="35">
        <v>12718.7</v>
      </c>
      <c r="I74" s="33">
        <v>0.21360000000000001</v>
      </c>
    </row>
    <row r="75" spans="1:9" x14ac:dyDescent="0.25">
      <c r="A75" s="35">
        <v>218000.8</v>
      </c>
      <c r="B75" s="35">
        <v>343599.21</v>
      </c>
      <c r="C75" s="35">
        <v>34923.96</v>
      </c>
      <c r="D75" s="33">
        <v>0.23519999999999999</v>
      </c>
      <c r="F75" s="35">
        <v>242223.11</v>
      </c>
      <c r="G75" s="35">
        <v>381776.9</v>
      </c>
      <c r="H75" s="35">
        <v>38804.400000000001</v>
      </c>
      <c r="I75" s="33">
        <v>0.23519999999999999</v>
      </c>
    </row>
    <row r="76" spans="1:9" x14ac:dyDescent="0.25">
      <c r="A76" s="35">
        <v>343599.22</v>
      </c>
      <c r="B76" s="35">
        <v>655987.5</v>
      </c>
      <c r="C76" s="35">
        <v>64464.66</v>
      </c>
      <c r="D76" s="33">
        <v>0.3</v>
      </c>
      <c r="F76" s="35">
        <v>381776.91</v>
      </c>
      <c r="G76" s="35">
        <v>728875</v>
      </c>
      <c r="H76" s="35">
        <v>71627.399999999994</v>
      </c>
      <c r="I76" s="33">
        <v>0.3</v>
      </c>
    </row>
    <row r="77" spans="1:9" x14ac:dyDescent="0.25">
      <c r="A77" s="35">
        <v>655987.51</v>
      </c>
      <c r="B77" s="35">
        <v>874649.97</v>
      </c>
      <c r="C77" s="35">
        <v>158181.21</v>
      </c>
      <c r="D77" s="33">
        <v>0.32</v>
      </c>
      <c r="F77" s="35">
        <v>728875.01</v>
      </c>
      <c r="G77" s="35">
        <v>971833.3</v>
      </c>
      <c r="H77" s="35">
        <v>175756.9</v>
      </c>
      <c r="I77" s="33">
        <v>0.32</v>
      </c>
    </row>
    <row r="78" spans="1:9" x14ac:dyDescent="0.25">
      <c r="A78" s="35">
        <v>874649.98</v>
      </c>
      <c r="B78" s="35">
        <v>2623950</v>
      </c>
      <c r="C78" s="35">
        <v>228153.15</v>
      </c>
      <c r="D78" s="33">
        <v>0.34</v>
      </c>
      <c r="F78" s="35">
        <v>971833.31</v>
      </c>
      <c r="G78" s="35">
        <v>2915500</v>
      </c>
      <c r="H78" s="35">
        <v>253503.5</v>
      </c>
      <c r="I78" s="33">
        <v>0.34</v>
      </c>
    </row>
    <row r="79" spans="1:9" ht="15.75" thickBot="1" x14ac:dyDescent="0.3">
      <c r="A79" s="36">
        <v>2623950.0099999998</v>
      </c>
      <c r="B79" s="37" t="s">
        <v>44</v>
      </c>
      <c r="C79" s="36">
        <v>822915.18</v>
      </c>
      <c r="D79" s="38">
        <v>0.35</v>
      </c>
      <c r="F79" s="36">
        <v>2915500.01</v>
      </c>
      <c r="G79" s="37" t="s">
        <v>44</v>
      </c>
      <c r="H79" s="36">
        <v>914350.2</v>
      </c>
      <c r="I79" s="38">
        <v>0.35</v>
      </c>
    </row>
    <row r="80" spans="1:9" ht="16.5" thickTop="1" thickBot="1" x14ac:dyDescent="0.3">
      <c r="A80" s="40"/>
      <c r="B80" s="41"/>
      <c r="C80" s="41"/>
      <c r="D80" s="41"/>
    </row>
    <row r="81" spans="1:9" s="43" customFormat="1" ht="69.75" customHeight="1" thickTop="1" thickBot="1" x14ac:dyDescent="0.3">
      <c r="A81" s="518" t="s">
        <v>116</v>
      </c>
      <c r="B81" s="518"/>
      <c r="C81" s="518"/>
      <c r="D81" s="518"/>
      <c r="F81" s="517" t="s">
        <v>117</v>
      </c>
      <c r="G81" s="517"/>
      <c r="H81" s="517"/>
      <c r="I81" s="517"/>
    </row>
    <row r="82" spans="1:9" ht="23.25" thickTop="1" x14ac:dyDescent="0.25">
      <c r="A82" s="42" t="s">
        <v>37</v>
      </c>
      <c r="B82" s="29" t="s">
        <v>38</v>
      </c>
      <c r="C82" s="29" t="s">
        <v>39</v>
      </c>
      <c r="D82" s="29" t="s">
        <v>40</v>
      </c>
      <c r="E82" s="44"/>
      <c r="F82" s="42" t="s">
        <v>37</v>
      </c>
      <c r="G82" s="29" t="s">
        <v>38</v>
      </c>
      <c r="H82" s="29" t="s">
        <v>39</v>
      </c>
      <c r="I82" s="29" t="s">
        <v>40</v>
      </c>
    </row>
    <row r="83" spans="1:9" ht="22.5" x14ac:dyDescent="0.25">
      <c r="A83" s="30"/>
      <c r="B83" s="30"/>
      <c r="C83" s="30"/>
      <c r="D83" s="30" t="s">
        <v>41</v>
      </c>
      <c r="E83" s="44"/>
      <c r="F83" s="30"/>
      <c r="G83" s="30"/>
      <c r="H83" s="30"/>
      <c r="I83" s="30" t="s">
        <v>41</v>
      </c>
    </row>
    <row r="84" spans="1:9" ht="15.75" thickBot="1" x14ac:dyDescent="0.3">
      <c r="A84" s="31" t="s">
        <v>42</v>
      </c>
      <c r="B84" s="31" t="s">
        <v>42</v>
      </c>
      <c r="C84" s="31" t="s">
        <v>42</v>
      </c>
      <c r="D84" s="31" t="s">
        <v>43</v>
      </c>
      <c r="E84" s="44"/>
      <c r="F84" s="31" t="s">
        <v>42</v>
      </c>
      <c r="G84" s="31" t="s">
        <v>42</v>
      </c>
      <c r="H84" s="31" t="s">
        <v>42</v>
      </c>
      <c r="I84" s="31" t="s">
        <v>43</v>
      </c>
    </row>
    <row r="85" spans="1:9" ht="15.75" thickTop="1" x14ac:dyDescent="0.25">
      <c r="A85" s="32">
        <v>0.01</v>
      </c>
      <c r="B85" s="35">
        <v>6363.72</v>
      </c>
      <c r="C85" s="32">
        <v>0</v>
      </c>
      <c r="D85" s="33">
        <v>1.9199999999999998E-2</v>
      </c>
      <c r="F85" s="32">
        <v>0.01</v>
      </c>
      <c r="G85" s="35">
        <v>6942.2</v>
      </c>
      <c r="H85" s="32">
        <v>0</v>
      </c>
      <c r="I85" s="33">
        <v>1.9199999999999998E-2</v>
      </c>
    </row>
    <row r="86" spans="1:9" x14ac:dyDescent="0.25">
      <c r="A86" s="35">
        <v>6363.73</v>
      </c>
      <c r="B86" s="35">
        <v>54011.98</v>
      </c>
      <c r="C86" s="32">
        <v>122.21</v>
      </c>
      <c r="D86" s="33">
        <v>6.4000000000000001E-2</v>
      </c>
      <c r="F86" s="35">
        <v>6942.21</v>
      </c>
      <c r="G86" s="35">
        <v>58922.16</v>
      </c>
      <c r="H86" s="32">
        <v>133.28</v>
      </c>
      <c r="I86" s="33">
        <v>6.4000000000000001E-2</v>
      </c>
    </row>
    <row r="87" spans="1:9" x14ac:dyDescent="0.25">
      <c r="A87" s="35">
        <v>54011.99</v>
      </c>
      <c r="B87" s="35">
        <v>94921.2</v>
      </c>
      <c r="C87" s="35">
        <v>3171.63</v>
      </c>
      <c r="D87" s="33">
        <v>0.10879999999999999</v>
      </c>
      <c r="F87" s="35">
        <v>58922.17</v>
      </c>
      <c r="G87" s="35">
        <v>103550.44</v>
      </c>
      <c r="H87" s="35">
        <v>3460.01</v>
      </c>
      <c r="I87" s="33">
        <v>0.10879999999999999</v>
      </c>
    </row>
    <row r="88" spans="1:9" x14ac:dyDescent="0.25">
      <c r="A88" s="35">
        <v>94921.21</v>
      </c>
      <c r="B88" s="35">
        <v>110341.77</v>
      </c>
      <c r="C88" s="35">
        <v>7622.56</v>
      </c>
      <c r="D88" s="33">
        <v>0.16</v>
      </c>
      <c r="F88" s="35">
        <v>103550.45</v>
      </c>
      <c r="G88" s="35">
        <v>120372.83</v>
      </c>
      <c r="H88" s="35">
        <v>8315.57</v>
      </c>
      <c r="I88" s="33">
        <v>0.16</v>
      </c>
    </row>
    <row r="89" spans="1:9" x14ac:dyDescent="0.25">
      <c r="A89" s="35">
        <v>110341.78</v>
      </c>
      <c r="B89" s="35">
        <v>132109.34</v>
      </c>
      <c r="C89" s="35">
        <v>10089.86</v>
      </c>
      <c r="D89" s="33">
        <v>0.1792</v>
      </c>
      <c r="F89" s="35">
        <v>120372.84</v>
      </c>
      <c r="G89" s="35">
        <v>144119.23000000001</v>
      </c>
      <c r="H89" s="35">
        <v>11007.14</v>
      </c>
      <c r="I89" s="33">
        <v>0.1792</v>
      </c>
    </row>
    <row r="90" spans="1:9" x14ac:dyDescent="0.25">
      <c r="A90" s="35">
        <v>132109.35</v>
      </c>
      <c r="B90" s="35">
        <v>266445.40999999997</v>
      </c>
      <c r="C90" s="35">
        <v>13990.57</v>
      </c>
      <c r="D90" s="33">
        <v>0.21360000000000001</v>
      </c>
      <c r="F90" s="35">
        <v>144119.24</v>
      </c>
      <c r="G90" s="35">
        <v>290667.75</v>
      </c>
      <c r="H90" s="35">
        <v>15262.49</v>
      </c>
      <c r="I90" s="33">
        <v>0.21360000000000001</v>
      </c>
    </row>
    <row r="91" spans="1:9" x14ac:dyDescent="0.25">
      <c r="A91" s="35">
        <v>266445.42</v>
      </c>
      <c r="B91" s="35">
        <v>419954.59</v>
      </c>
      <c r="C91" s="35">
        <v>42684.84</v>
      </c>
      <c r="D91" s="33">
        <v>0.23519999999999999</v>
      </c>
      <c r="F91" s="35">
        <v>290667.76</v>
      </c>
      <c r="G91" s="35">
        <v>458132.29</v>
      </c>
      <c r="H91" s="35">
        <v>46565.26</v>
      </c>
      <c r="I91" s="33">
        <v>0.23519999999999999</v>
      </c>
    </row>
    <row r="92" spans="1:9" x14ac:dyDescent="0.25">
      <c r="A92" s="35">
        <v>419954.6</v>
      </c>
      <c r="B92" s="35">
        <v>801762.5</v>
      </c>
      <c r="C92" s="35">
        <v>78790.14</v>
      </c>
      <c r="D92" s="33">
        <v>0.3</v>
      </c>
      <c r="F92" s="35">
        <v>458132.3</v>
      </c>
      <c r="G92" s="35">
        <v>874650</v>
      </c>
      <c r="H92" s="35">
        <v>85952.92</v>
      </c>
      <c r="I92" s="33">
        <v>0.3</v>
      </c>
    </row>
    <row r="93" spans="1:9" x14ac:dyDescent="0.25">
      <c r="A93" s="35">
        <v>801762.51</v>
      </c>
      <c r="B93" s="35">
        <v>1069016.6299999999</v>
      </c>
      <c r="C93" s="35">
        <v>193332.59</v>
      </c>
      <c r="D93" s="33">
        <v>0.32</v>
      </c>
      <c r="F93" s="35">
        <v>874650.01</v>
      </c>
      <c r="G93" s="35">
        <v>1166200</v>
      </c>
      <c r="H93" s="35">
        <v>210908.23</v>
      </c>
      <c r="I93" s="33">
        <v>0.32</v>
      </c>
    </row>
    <row r="94" spans="1:9" x14ac:dyDescent="0.25">
      <c r="A94" s="35">
        <v>1069016.6399999999</v>
      </c>
      <c r="B94" s="35">
        <v>3207050</v>
      </c>
      <c r="C94" s="35">
        <v>278853.84999999998</v>
      </c>
      <c r="D94" s="33">
        <v>0.34</v>
      </c>
      <c r="F94" s="35">
        <v>1166200.01</v>
      </c>
      <c r="G94" s="35">
        <v>3498600</v>
      </c>
      <c r="H94" s="35">
        <v>304204.21000000002</v>
      </c>
      <c r="I94" s="33">
        <v>0.34</v>
      </c>
    </row>
    <row r="95" spans="1:9" ht="15.75" thickBot="1" x14ac:dyDescent="0.3">
      <c r="A95" s="36">
        <v>3207050.01</v>
      </c>
      <c r="B95" s="37" t="s">
        <v>44</v>
      </c>
      <c r="C95" s="36">
        <v>1005785.22</v>
      </c>
      <c r="D95" s="38">
        <v>0.35</v>
      </c>
      <c r="F95" s="36">
        <v>3498600.01</v>
      </c>
      <c r="G95" s="37" t="s">
        <v>44</v>
      </c>
      <c r="H95" s="36">
        <v>1097220.21</v>
      </c>
      <c r="I95" s="38">
        <v>0.35</v>
      </c>
    </row>
    <row r="96" spans="1:9" ht="15.75" thickTop="1" x14ac:dyDescent="0.25">
      <c r="A96" s="45"/>
    </row>
    <row r="97" spans="1:4" ht="54" customHeight="1" thickBot="1" x14ac:dyDescent="0.3">
      <c r="A97" s="517" t="s">
        <v>117</v>
      </c>
      <c r="B97" s="517"/>
      <c r="C97" s="517"/>
      <c r="D97" s="517"/>
    </row>
    <row r="98" spans="1:4" ht="23.25" thickTop="1" x14ac:dyDescent="0.25">
      <c r="A98" s="42" t="s">
        <v>37</v>
      </c>
      <c r="B98" s="29" t="s">
        <v>38</v>
      </c>
      <c r="C98" s="29" t="s">
        <v>39</v>
      </c>
      <c r="D98" s="29" t="s">
        <v>40</v>
      </c>
    </row>
    <row r="99" spans="1:4" ht="22.5" x14ac:dyDescent="0.25">
      <c r="A99" s="30"/>
      <c r="B99" s="30"/>
      <c r="C99" s="30"/>
      <c r="D99" s="30" t="s">
        <v>41</v>
      </c>
    </row>
    <row r="100" spans="1:4" ht="15.75" thickBot="1" x14ac:dyDescent="0.3">
      <c r="A100" s="31" t="s">
        <v>42</v>
      </c>
      <c r="B100" s="31" t="s">
        <v>42</v>
      </c>
      <c r="C100" s="31" t="s">
        <v>42</v>
      </c>
      <c r="D100" s="31" t="s">
        <v>43</v>
      </c>
    </row>
    <row r="101" spans="1:4" ht="15.75" thickTop="1" x14ac:dyDescent="0.25">
      <c r="A101" s="32">
        <v>0.01</v>
      </c>
      <c r="B101" s="35">
        <v>6942.2</v>
      </c>
      <c r="C101" s="32">
        <v>0</v>
      </c>
      <c r="D101" s="33">
        <v>1.9199999999999998E-2</v>
      </c>
    </row>
    <row r="102" spans="1:4" x14ac:dyDescent="0.25">
      <c r="A102" s="35">
        <v>6942.21</v>
      </c>
      <c r="B102" s="35">
        <v>58922.16</v>
      </c>
      <c r="C102" s="32">
        <v>133.28</v>
      </c>
      <c r="D102" s="33">
        <v>6.4000000000000001E-2</v>
      </c>
    </row>
    <row r="103" spans="1:4" x14ac:dyDescent="0.25">
      <c r="A103" s="35">
        <v>58922.17</v>
      </c>
      <c r="B103" s="35">
        <v>103550.44</v>
      </c>
      <c r="C103" s="35">
        <v>3460.01</v>
      </c>
      <c r="D103" s="33">
        <v>0.10879999999999999</v>
      </c>
    </row>
    <row r="104" spans="1:4" x14ac:dyDescent="0.25">
      <c r="A104" s="35">
        <v>103550.45</v>
      </c>
      <c r="B104" s="35">
        <v>120372.83</v>
      </c>
      <c r="C104" s="35">
        <v>8315.57</v>
      </c>
      <c r="D104" s="33">
        <v>0.16</v>
      </c>
    </row>
    <row r="105" spans="1:4" x14ac:dyDescent="0.25">
      <c r="A105" s="35">
        <v>120372.84</v>
      </c>
      <c r="B105" s="35">
        <v>144119.23000000001</v>
      </c>
      <c r="C105" s="35">
        <v>11007.14</v>
      </c>
      <c r="D105" s="33">
        <v>0.1792</v>
      </c>
    </row>
    <row r="106" spans="1:4" x14ac:dyDescent="0.25">
      <c r="A106" s="35">
        <v>144119.24</v>
      </c>
      <c r="B106" s="35">
        <v>290667.75</v>
      </c>
      <c r="C106" s="35">
        <v>15262.49</v>
      </c>
      <c r="D106" s="33">
        <v>0.21360000000000001</v>
      </c>
    </row>
    <row r="107" spans="1:4" x14ac:dyDescent="0.25">
      <c r="A107" s="35">
        <v>290667.76</v>
      </c>
      <c r="B107" s="35">
        <v>458132.29</v>
      </c>
      <c r="C107" s="35">
        <v>46565.26</v>
      </c>
      <c r="D107" s="33">
        <v>0.23519999999999999</v>
      </c>
    </row>
    <row r="108" spans="1:4" x14ac:dyDescent="0.25">
      <c r="A108" s="35">
        <v>458132.3</v>
      </c>
      <c r="B108" s="35">
        <v>874650</v>
      </c>
      <c r="C108" s="35">
        <v>85952.92</v>
      </c>
      <c r="D108" s="33">
        <v>0.3</v>
      </c>
    </row>
    <row r="109" spans="1:4" x14ac:dyDescent="0.25">
      <c r="A109" s="35">
        <v>874650.01</v>
      </c>
      <c r="B109" s="35">
        <v>1166200</v>
      </c>
      <c r="C109" s="35">
        <v>210908.23</v>
      </c>
      <c r="D109" s="33">
        <v>0.32</v>
      </c>
    </row>
    <row r="110" spans="1:4" x14ac:dyDescent="0.25">
      <c r="A110" s="35">
        <v>1166200.01</v>
      </c>
      <c r="B110" s="35">
        <v>3498600</v>
      </c>
      <c r="C110" s="35">
        <v>304204.21000000002</v>
      </c>
      <c r="D110" s="33">
        <v>0.34</v>
      </c>
    </row>
    <row r="111" spans="1:4" ht="15.75" thickBot="1" x14ac:dyDescent="0.3">
      <c r="A111" s="36">
        <v>3498600.01</v>
      </c>
      <c r="B111" s="37" t="s">
        <v>44</v>
      </c>
      <c r="C111" s="36">
        <v>1097220.21</v>
      </c>
      <c r="D111" s="38">
        <v>0.35</v>
      </c>
    </row>
    <row r="112" spans="1:4" ht="15.75" thickTop="1" x14ac:dyDescent="0.25"/>
  </sheetData>
  <mergeCells count="13">
    <mergeCell ref="A97:D97"/>
    <mergeCell ref="A49:D49"/>
    <mergeCell ref="F49:I49"/>
    <mergeCell ref="A65:D65"/>
    <mergeCell ref="F65:I65"/>
    <mergeCell ref="A81:D81"/>
    <mergeCell ref="F81:I81"/>
    <mergeCell ref="A1:D1"/>
    <mergeCell ref="F1:I1"/>
    <mergeCell ref="A17:D17"/>
    <mergeCell ref="F17:I17"/>
    <mergeCell ref="A33:D33"/>
    <mergeCell ref="F33:I3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baseColWidth="10" defaultRowHeight="15"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8" sqref="E8"/>
    </sheetView>
  </sheetViews>
  <sheetFormatPr baseColWidth="10" defaultRowHeight="1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workbookViewId="0">
      <selection activeCell="I7" sqref="I7"/>
    </sheetView>
  </sheetViews>
  <sheetFormatPr baseColWidth="10" defaultRowHeight="15" x14ac:dyDescent="0.25"/>
  <cols>
    <col min="1" max="9" width="14.140625" customWidth="1"/>
    <col min="257" max="265" width="14.140625" customWidth="1"/>
    <col min="513" max="521" width="14.140625" customWidth="1"/>
    <col min="769" max="777" width="14.140625" customWidth="1"/>
    <col min="1025" max="1033" width="14.140625" customWidth="1"/>
    <col min="1281" max="1289" width="14.140625" customWidth="1"/>
    <col min="1537" max="1545" width="14.140625" customWidth="1"/>
    <col min="1793" max="1801" width="14.140625" customWidth="1"/>
    <col min="2049" max="2057" width="14.140625" customWidth="1"/>
    <col min="2305" max="2313" width="14.140625" customWidth="1"/>
    <col min="2561" max="2569" width="14.140625" customWidth="1"/>
    <col min="2817" max="2825" width="14.140625" customWidth="1"/>
    <col min="3073" max="3081" width="14.140625" customWidth="1"/>
    <col min="3329" max="3337" width="14.140625" customWidth="1"/>
    <col min="3585" max="3593" width="14.140625" customWidth="1"/>
    <col min="3841" max="3849" width="14.140625" customWidth="1"/>
    <col min="4097" max="4105" width="14.140625" customWidth="1"/>
    <col min="4353" max="4361" width="14.140625" customWidth="1"/>
    <col min="4609" max="4617" width="14.140625" customWidth="1"/>
    <col min="4865" max="4873" width="14.140625" customWidth="1"/>
    <col min="5121" max="5129" width="14.140625" customWidth="1"/>
    <col min="5377" max="5385" width="14.140625" customWidth="1"/>
    <col min="5633" max="5641" width="14.140625" customWidth="1"/>
    <col min="5889" max="5897" width="14.140625" customWidth="1"/>
    <col min="6145" max="6153" width="14.140625" customWidth="1"/>
    <col min="6401" max="6409" width="14.140625" customWidth="1"/>
    <col min="6657" max="6665" width="14.140625" customWidth="1"/>
    <col min="6913" max="6921" width="14.140625" customWidth="1"/>
    <col min="7169" max="7177" width="14.140625" customWidth="1"/>
    <col min="7425" max="7433" width="14.140625" customWidth="1"/>
    <col min="7681" max="7689" width="14.140625" customWidth="1"/>
    <col min="7937" max="7945" width="14.140625" customWidth="1"/>
    <col min="8193" max="8201" width="14.140625" customWidth="1"/>
    <col min="8449" max="8457" width="14.140625" customWidth="1"/>
    <col min="8705" max="8713" width="14.140625" customWidth="1"/>
    <col min="8961" max="8969" width="14.140625" customWidth="1"/>
    <col min="9217" max="9225" width="14.140625" customWidth="1"/>
    <col min="9473" max="9481" width="14.140625" customWidth="1"/>
    <col min="9729" max="9737" width="14.140625" customWidth="1"/>
    <col min="9985" max="9993" width="14.140625" customWidth="1"/>
    <col min="10241" max="10249" width="14.140625" customWidth="1"/>
    <col min="10497" max="10505" width="14.140625" customWidth="1"/>
    <col min="10753" max="10761" width="14.140625" customWidth="1"/>
    <col min="11009" max="11017" width="14.140625" customWidth="1"/>
    <col min="11265" max="11273" width="14.140625" customWidth="1"/>
    <col min="11521" max="11529" width="14.140625" customWidth="1"/>
    <col min="11777" max="11785" width="14.140625" customWidth="1"/>
    <col min="12033" max="12041" width="14.140625" customWidth="1"/>
    <col min="12289" max="12297" width="14.140625" customWidth="1"/>
    <col min="12545" max="12553" width="14.140625" customWidth="1"/>
    <col min="12801" max="12809" width="14.140625" customWidth="1"/>
    <col min="13057" max="13065" width="14.140625" customWidth="1"/>
    <col min="13313" max="13321" width="14.140625" customWidth="1"/>
    <col min="13569" max="13577" width="14.140625" customWidth="1"/>
    <col min="13825" max="13833" width="14.140625" customWidth="1"/>
    <col min="14081" max="14089" width="14.140625" customWidth="1"/>
    <col min="14337" max="14345" width="14.140625" customWidth="1"/>
    <col min="14593" max="14601" width="14.140625" customWidth="1"/>
    <col min="14849" max="14857" width="14.140625" customWidth="1"/>
    <col min="15105" max="15113" width="14.140625" customWidth="1"/>
    <col min="15361" max="15369" width="14.140625" customWidth="1"/>
    <col min="15617" max="15625" width="14.140625" customWidth="1"/>
    <col min="15873" max="15881" width="14.140625" customWidth="1"/>
    <col min="16129" max="16137" width="14.140625" customWidth="1"/>
  </cols>
  <sheetData>
    <row r="1" spans="1:9" ht="39.75" customHeight="1" thickBot="1" x14ac:dyDescent="0.3">
      <c r="A1" s="517" t="s">
        <v>35</v>
      </c>
      <c r="B1" s="517"/>
      <c r="C1" s="517"/>
      <c r="D1" s="517"/>
      <c r="F1" s="517" t="s">
        <v>36</v>
      </c>
      <c r="G1" s="517"/>
      <c r="H1" s="517"/>
      <c r="I1" s="517"/>
    </row>
    <row r="2" spans="1:9" ht="23.25" thickTop="1" x14ac:dyDescent="0.25">
      <c r="A2" s="29" t="s">
        <v>37</v>
      </c>
      <c r="B2" s="29" t="s">
        <v>38</v>
      </c>
      <c r="C2" s="29" t="s">
        <v>39</v>
      </c>
      <c r="D2" s="29" t="s">
        <v>40</v>
      </c>
      <c r="F2" s="29" t="s">
        <v>37</v>
      </c>
      <c r="G2" s="29" t="s">
        <v>38</v>
      </c>
      <c r="H2" s="29" t="s">
        <v>39</v>
      </c>
      <c r="I2" s="29" t="s">
        <v>40</v>
      </c>
    </row>
    <row r="3" spans="1:9" ht="22.5" x14ac:dyDescent="0.25">
      <c r="A3" s="30"/>
      <c r="B3" s="30"/>
      <c r="C3" s="30"/>
      <c r="D3" s="30" t="s">
        <v>41</v>
      </c>
      <c r="F3" s="30"/>
      <c r="G3" s="30"/>
      <c r="H3" s="30"/>
      <c r="I3" s="30" t="s">
        <v>41</v>
      </c>
    </row>
    <row r="4" spans="1:9" ht="15.75" thickBot="1" x14ac:dyDescent="0.3">
      <c r="A4" s="31" t="s">
        <v>42</v>
      </c>
      <c r="B4" s="31" t="s">
        <v>42</v>
      </c>
      <c r="C4" s="31" t="s">
        <v>42</v>
      </c>
      <c r="D4" s="31" t="s">
        <v>43</v>
      </c>
      <c r="F4" s="31" t="s">
        <v>42</v>
      </c>
      <c r="G4" s="31" t="s">
        <v>42</v>
      </c>
      <c r="H4" s="31" t="s">
        <v>42</v>
      </c>
      <c r="I4" s="31" t="s">
        <v>43</v>
      </c>
    </row>
    <row r="5" spans="1:9" ht="15.75" thickTop="1" x14ac:dyDescent="0.25">
      <c r="A5" s="32">
        <v>0.01</v>
      </c>
      <c r="B5" s="32">
        <v>578.52</v>
      </c>
      <c r="C5" s="32">
        <v>0</v>
      </c>
      <c r="D5" s="33">
        <v>1.9199999999999998E-2</v>
      </c>
      <c r="F5" s="30">
        <v>0.01</v>
      </c>
      <c r="G5" s="34">
        <v>1157.04</v>
      </c>
      <c r="H5" s="32">
        <v>0</v>
      </c>
      <c r="I5" s="33">
        <v>1.9199999999999998E-2</v>
      </c>
    </row>
    <row r="6" spans="1:9" x14ac:dyDescent="0.25">
      <c r="A6" s="32">
        <v>578.53</v>
      </c>
      <c r="B6" s="35">
        <v>4910.18</v>
      </c>
      <c r="C6" s="32">
        <v>11.11</v>
      </c>
      <c r="D6" s="33">
        <v>6.4000000000000001E-2</v>
      </c>
      <c r="F6" s="34">
        <v>1157.05</v>
      </c>
      <c r="G6" s="34">
        <v>9820.36</v>
      </c>
      <c r="H6" s="32">
        <v>22.22</v>
      </c>
      <c r="I6" s="33">
        <v>6.4000000000000001E-2</v>
      </c>
    </row>
    <row r="7" spans="1:9" x14ac:dyDescent="0.25">
      <c r="A7" s="35">
        <v>4910.1899999999996</v>
      </c>
      <c r="B7" s="35">
        <v>8629.2000000000007</v>
      </c>
      <c r="C7" s="32">
        <v>288.33</v>
      </c>
      <c r="D7" s="33">
        <v>0.10879999999999999</v>
      </c>
      <c r="F7" s="34">
        <v>9820.3700000000008</v>
      </c>
      <c r="G7" s="34">
        <v>17258.400000000001</v>
      </c>
      <c r="H7" s="32">
        <v>576.66</v>
      </c>
      <c r="I7" s="33">
        <v>0.10879999999999999</v>
      </c>
    </row>
    <row r="8" spans="1:9" x14ac:dyDescent="0.25">
      <c r="A8" s="35">
        <v>8629.2099999999991</v>
      </c>
      <c r="B8" s="35">
        <v>10031.07</v>
      </c>
      <c r="C8" s="32">
        <v>692.96</v>
      </c>
      <c r="D8" s="33">
        <v>0.16</v>
      </c>
      <c r="F8" s="34">
        <v>17258.41</v>
      </c>
      <c r="G8" s="34">
        <v>20062.14</v>
      </c>
      <c r="H8" s="35">
        <v>1385.92</v>
      </c>
      <c r="I8" s="33">
        <v>0.16</v>
      </c>
    </row>
    <row r="9" spans="1:9" x14ac:dyDescent="0.25">
      <c r="A9" s="35">
        <v>10031.08</v>
      </c>
      <c r="B9" s="35">
        <v>12009.94</v>
      </c>
      <c r="C9" s="32">
        <v>917.26</v>
      </c>
      <c r="D9" s="33">
        <v>0.1792</v>
      </c>
      <c r="F9" s="34">
        <v>20062.150000000001</v>
      </c>
      <c r="G9" s="34">
        <v>24019.88</v>
      </c>
      <c r="H9" s="35">
        <v>1834.52</v>
      </c>
      <c r="I9" s="33">
        <v>0.1792</v>
      </c>
    </row>
    <row r="10" spans="1:9" x14ac:dyDescent="0.25">
      <c r="A10" s="35">
        <v>12009.95</v>
      </c>
      <c r="B10" s="35">
        <v>24222.31</v>
      </c>
      <c r="C10" s="35">
        <v>1271.8699999999999</v>
      </c>
      <c r="D10" s="33">
        <v>0.21360000000000001</v>
      </c>
      <c r="F10" s="34">
        <v>24019.89</v>
      </c>
      <c r="G10" s="34">
        <v>48444.62</v>
      </c>
      <c r="H10" s="35">
        <v>2543.7399999999998</v>
      </c>
      <c r="I10" s="33">
        <v>0.21360000000000001</v>
      </c>
    </row>
    <row r="11" spans="1:9" x14ac:dyDescent="0.25">
      <c r="A11" s="35">
        <v>24222.32</v>
      </c>
      <c r="B11" s="35">
        <v>38177.69</v>
      </c>
      <c r="C11" s="35">
        <v>3880.44</v>
      </c>
      <c r="D11" s="33">
        <v>0.23519999999999999</v>
      </c>
      <c r="F11" s="34">
        <v>48444.63</v>
      </c>
      <c r="G11" s="34">
        <v>76355.38</v>
      </c>
      <c r="H11" s="35">
        <v>7760.88</v>
      </c>
      <c r="I11" s="33">
        <v>0.23519999999999999</v>
      </c>
    </row>
    <row r="12" spans="1:9" x14ac:dyDescent="0.25">
      <c r="A12" s="35">
        <v>38177.699999999997</v>
      </c>
      <c r="B12" s="35">
        <v>72887.5</v>
      </c>
      <c r="C12" s="35">
        <v>7162.74</v>
      </c>
      <c r="D12" s="33">
        <v>0.3</v>
      </c>
      <c r="F12" s="34">
        <v>76355.39</v>
      </c>
      <c r="G12" s="34">
        <v>145775</v>
      </c>
      <c r="H12" s="35">
        <v>14325.48</v>
      </c>
      <c r="I12" s="33">
        <v>0.3</v>
      </c>
    </row>
    <row r="13" spans="1:9" x14ac:dyDescent="0.25">
      <c r="A13" s="35">
        <v>72887.509999999995</v>
      </c>
      <c r="B13" s="35">
        <v>97183.33</v>
      </c>
      <c r="C13" s="35">
        <v>17575.689999999999</v>
      </c>
      <c r="D13" s="33">
        <v>0.32</v>
      </c>
      <c r="F13" s="34">
        <v>145775.01</v>
      </c>
      <c r="G13" s="34">
        <v>194366.66</v>
      </c>
      <c r="H13" s="35">
        <v>35151.379999999997</v>
      </c>
      <c r="I13" s="33">
        <v>0.32</v>
      </c>
    </row>
    <row r="14" spans="1:9" x14ac:dyDescent="0.25">
      <c r="A14" s="35">
        <v>97183.34</v>
      </c>
      <c r="B14" s="35">
        <v>291550</v>
      </c>
      <c r="C14" s="35">
        <v>25350.35</v>
      </c>
      <c r="D14" s="33">
        <v>0.34</v>
      </c>
      <c r="F14" s="34">
        <v>194366.67</v>
      </c>
      <c r="G14" s="34">
        <v>583100</v>
      </c>
      <c r="H14" s="35">
        <v>50700.7</v>
      </c>
      <c r="I14" s="33">
        <v>0.34</v>
      </c>
    </row>
    <row r="15" spans="1:9" ht="15.75" thickBot="1" x14ac:dyDescent="0.3">
      <c r="A15" s="36">
        <v>291550.01</v>
      </c>
      <c r="B15" s="37" t="s">
        <v>44</v>
      </c>
      <c r="C15" s="36">
        <v>91435.02</v>
      </c>
      <c r="D15" s="38">
        <v>0.35</v>
      </c>
      <c r="F15" s="39">
        <v>583100.01</v>
      </c>
      <c r="G15" s="31" t="s">
        <v>44</v>
      </c>
      <c r="H15" s="36">
        <v>182870.04</v>
      </c>
      <c r="I15" s="38">
        <v>0.35</v>
      </c>
    </row>
    <row r="16" spans="1:9" ht="16.5" thickTop="1" thickBot="1" x14ac:dyDescent="0.3">
      <c r="A16" s="40"/>
      <c r="B16" s="41"/>
      <c r="C16" s="41"/>
      <c r="D16" s="41"/>
    </row>
    <row r="17" spans="1:9" ht="39.75" customHeight="1" thickTop="1" thickBot="1" x14ac:dyDescent="0.3">
      <c r="A17" s="518" t="s">
        <v>45</v>
      </c>
      <c r="B17" s="518"/>
      <c r="C17" s="518"/>
      <c r="D17" s="518"/>
      <c r="F17" s="517" t="s">
        <v>46</v>
      </c>
      <c r="G17" s="517"/>
      <c r="H17" s="517"/>
      <c r="I17" s="517"/>
    </row>
    <row r="18" spans="1:9" ht="23.25" thickTop="1" x14ac:dyDescent="0.25">
      <c r="A18" s="42" t="s">
        <v>37</v>
      </c>
      <c r="B18" s="29" t="s">
        <v>38</v>
      </c>
      <c r="C18" s="29" t="s">
        <v>39</v>
      </c>
      <c r="D18" s="29" t="s">
        <v>40</v>
      </c>
      <c r="F18" s="42" t="s">
        <v>37</v>
      </c>
      <c r="G18" s="29" t="s">
        <v>38</v>
      </c>
      <c r="H18" s="29" t="s">
        <v>39</v>
      </c>
      <c r="I18" s="29" t="s">
        <v>40</v>
      </c>
    </row>
    <row r="19" spans="1:9" ht="22.5" x14ac:dyDescent="0.25">
      <c r="A19" s="30"/>
      <c r="B19" s="30"/>
      <c r="C19" s="30"/>
      <c r="D19" s="30" t="s">
        <v>41</v>
      </c>
      <c r="F19" s="30"/>
      <c r="G19" s="30"/>
      <c r="H19" s="30"/>
      <c r="I19" s="30" t="s">
        <v>41</v>
      </c>
    </row>
    <row r="20" spans="1:9" ht="15.75" thickBot="1" x14ac:dyDescent="0.3">
      <c r="A20" s="31" t="s">
        <v>42</v>
      </c>
      <c r="B20" s="31" t="s">
        <v>42</v>
      </c>
      <c r="C20" s="31" t="s">
        <v>42</v>
      </c>
      <c r="D20" s="31" t="s">
        <v>43</v>
      </c>
      <c r="F20" s="31" t="s">
        <v>42</v>
      </c>
      <c r="G20" s="31" t="s">
        <v>42</v>
      </c>
      <c r="H20" s="31" t="s">
        <v>42</v>
      </c>
      <c r="I20" s="31" t="s">
        <v>43</v>
      </c>
    </row>
    <row r="21" spans="1:9" ht="15.75" thickTop="1" x14ac:dyDescent="0.25">
      <c r="A21" s="32">
        <v>0.01</v>
      </c>
      <c r="B21" s="35">
        <v>1735.56</v>
      </c>
      <c r="C21" s="32">
        <v>0</v>
      </c>
      <c r="D21" s="33">
        <v>1.9199999999999998E-2</v>
      </c>
      <c r="F21" s="32">
        <v>0.01</v>
      </c>
      <c r="G21" s="35">
        <v>2314.08</v>
      </c>
      <c r="H21" s="32">
        <v>0</v>
      </c>
      <c r="I21" s="33">
        <v>1.9199999999999998E-2</v>
      </c>
    </row>
    <row r="22" spans="1:9" x14ac:dyDescent="0.25">
      <c r="A22" s="35">
        <v>1735.57</v>
      </c>
      <c r="B22" s="35">
        <v>14730.54</v>
      </c>
      <c r="C22" s="32">
        <v>33.33</v>
      </c>
      <c r="D22" s="33">
        <v>6.4000000000000001E-2</v>
      </c>
      <c r="F22" s="35">
        <v>2314.09</v>
      </c>
      <c r="G22" s="35">
        <v>19640.72</v>
      </c>
      <c r="H22" s="32">
        <v>44.44</v>
      </c>
      <c r="I22" s="33">
        <v>6.4000000000000001E-2</v>
      </c>
    </row>
    <row r="23" spans="1:9" x14ac:dyDescent="0.25">
      <c r="A23" s="35">
        <v>14730.55</v>
      </c>
      <c r="B23" s="35">
        <v>25887.599999999999</v>
      </c>
      <c r="C23" s="32">
        <v>864.99</v>
      </c>
      <c r="D23" s="33">
        <v>0.10879999999999999</v>
      </c>
      <c r="F23" s="35">
        <v>19640.73</v>
      </c>
      <c r="G23" s="35">
        <v>34516.800000000003</v>
      </c>
      <c r="H23" s="35">
        <v>1153.32</v>
      </c>
      <c r="I23" s="33">
        <v>0.10879999999999999</v>
      </c>
    </row>
    <row r="24" spans="1:9" x14ac:dyDescent="0.25">
      <c r="A24" s="35">
        <v>25887.61</v>
      </c>
      <c r="B24" s="35">
        <v>30093.21</v>
      </c>
      <c r="C24" s="35">
        <v>2078.88</v>
      </c>
      <c r="D24" s="33">
        <v>0.16</v>
      </c>
      <c r="F24" s="35">
        <v>34516.81</v>
      </c>
      <c r="G24" s="35">
        <v>40124.28</v>
      </c>
      <c r="H24" s="35">
        <v>2771.84</v>
      </c>
      <c r="I24" s="33">
        <v>0.16</v>
      </c>
    </row>
    <row r="25" spans="1:9" x14ac:dyDescent="0.25">
      <c r="A25" s="35">
        <v>30093.22</v>
      </c>
      <c r="B25" s="35">
        <v>36029.82</v>
      </c>
      <c r="C25" s="35">
        <v>2751.78</v>
      </c>
      <c r="D25" s="33">
        <v>0.1792</v>
      </c>
      <c r="F25" s="35">
        <v>40124.29</v>
      </c>
      <c r="G25" s="35">
        <v>48039.76</v>
      </c>
      <c r="H25" s="35">
        <v>3669.04</v>
      </c>
      <c r="I25" s="33">
        <v>0.1792</v>
      </c>
    </row>
    <row r="26" spans="1:9" x14ac:dyDescent="0.25">
      <c r="A26" s="35">
        <v>36029.83</v>
      </c>
      <c r="B26" s="35">
        <v>72666.929999999993</v>
      </c>
      <c r="C26" s="35">
        <v>3815.61</v>
      </c>
      <c r="D26" s="33">
        <v>0.21360000000000001</v>
      </c>
      <c r="F26" s="35">
        <v>48039.77</v>
      </c>
      <c r="G26" s="35">
        <v>96889.24</v>
      </c>
      <c r="H26" s="35">
        <v>5087.4799999999996</v>
      </c>
      <c r="I26" s="33">
        <v>0.21360000000000001</v>
      </c>
    </row>
    <row r="27" spans="1:9" x14ac:dyDescent="0.25">
      <c r="A27" s="35">
        <v>72666.94</v>
      </c>
      <c r="B27" s="35">
        <v>114533.07</v>
      </c>
      <c r="C27" s="35">
        <v>11641.32</v>
      </c>
      <c r="D27" s="33">
        <v>0.23519999999999999</v>
      </c>
      <c r="F27" s="35">
        <v>96889.25</v>
      </c>
      <c r="G27" s="35">
        <v>152710.76</v>
      </c>
      <c r="H27" s="35">
        <v>15521.76</v>
      </c>
      <c r="I27" s="33">
        <v>0.23519999999999999</v>
      </c>
    </row>
    <row r="28" spans="1:9" x14ac:dyDescent="0.25">
      <c r="A28" s="35">
        <v>114533.08</v>
      </c>
      <c r="B28" s="35">
        <v>218662.5</v>
      </c>
      <c r="C28" s="35">
        <v>21488.22</v>
      </c>
      <c r="D28" s="33">
        <v>0.3</v>
      </c>
      <c r="F28" s="35">
        <v>152710.76999999999</v>
      </c>
      <c r="G28" s="35">
        <v>291550</v>
      </c>
      <c r="H28" s="35">
        <v>28650.959999999999</v>
      </c>
      <c r="I28" s="33">
        <v>0.3</v>
      </c>
    </row>
    <row r="29" spans="1:9" x14ac:dyDescent="0.25">
      <c r="A29" s="35">
        <v>218662.51</v>
      </c>
      <c r="B29" s="35">
        <v>291549.99</v>
      </c>
      <c r="C29" s="35">
        <v>52727.07</v>
      </c>
      <c r="D29" s="33">
        <v>0.32</v>
      </c>
      <c r="F29" s="35">
        <v>291550.01</v>
      </c>
      <c r="G29" s="35">
        <v>388733.32</v>
      </c>
      <c r="H29" s="35">
        <v>70302.759999999995</v>
      </c>
      <c r="I29" s="33">
        <v>0.32</v>
      </c>
    </row>
    <row r="30" spans="1:9" x14ac:dyDescent="0.25">
      <c r="A30" s="35">
        <v>291550</v>
      </c>
      <c r="B30" s="35">
        <v>874650</v>
      </c>
      <c r="C30" s="35">
        <v>76051.05</v>
      </c>
      <c r="D30" s="33">
        <v>0.34</v>
      </c>
      <c r="F30" s="35">
        <v>388733.33</v>
      </c>
      <c r="G30" s="35">
        <v>1166200</v>
      </c>
      <c r="H30" s="35">
        <v>101401.4</v>
      </c>
      <c r="I30" s="33">
        <v>0.34</v>
      </c>
    </row>
    <row r="31" spans="1:9" ht="15.75" thickBot="1" x14ac:dyDescent="0.3">
      <c r="A31" s="36">
        <v>874650.01</v>
      </c>
      <c r="B31" s="37" t="s">
        <v>44</v>
      </c>
      <c r="C31" s="36">
        <v>274305.06</v>
      </c>
      <c r="D31" s="38">
        <v>0.35</v>
      </c>
      <c r="F31" s="36">
        <v>1166200.01</v>
      </c>
      <c r="G31" s="37" t="s">
        <v>44</v>
      </c>
      <c r="H31" s="36">
        <v>365740.08</v>
      </c>
      <c r="I31" s="38">
        <v>0.35</v>
      </c>
    </row>
    <row r="32" spans="1:9" ht="16.5" thickTop="1" thickBot="1" x14ac:dyDescent="0.3">
      <c r="A32" s="41"/>
      <c r="B32" s="41"/>
      <c r="C32" s="41"/>
      <c r="D32" s="41"/>
    </row>
    <row r="33" spans="1:9" ht="39.75" customHeight="1" thickTop="1" thickBot="1" x14ac:dyDescent="0.3">
      <c r="A33" s="518" t="s">
        <v>47</v>
      </c>
      <c r="B33" s="518"/>
      <c r="C33" s="518"/>
      <c r="D33" s="518"/>
      <c r="F33" s="517" t="s">
        <v>48</v>
      </c>
      <c r="G33" s="517"/>
      <c r="H33" s="517"/>
      <c r="I33" s="517"/>
    </row>
    <row r="34" spans="1:9" ht="23.25" thickTop="1" x14ac:dyDescent="0.25">
      <c r="A34" s="29" t="s">
        <v>37</v>
      </c>
      <c r="B34" s="29" t="s">
        <v>38</v>
      </c>
      <c r="C34" s="29" t="s">
        <v>39</v>
      </c>
      <c r="D34" s="29" t="s">
        <v>40</v>
      </c>
      <c r="F34" s="42" t="s">
        <v>37</v>
      </c>
      <c r="G34" s="29" t="s">
        <v>38</v>
      </c>
      <c r="H34" s="29" t="s">
        <v>39</v>
      </c>
      <c r="I34" s="29" t="s">
        <v>40</v>
      </c>
    </row>
    <row r="35" spans="1:9" ht="22.5" x14ac:dyDescent="0.25">
      <c r="A35" s="30"/>
      <c r="B35" s="30"/>
      <c r="C35" s="30"/>
      <c r="D35" s="30" t="s">
        <v>41</v>
      </c>
      <c r="F35" s="30"/>
      <c r="G35" s="30"/>
      <c r="H35" s="30"/>
      <c r="I35" s="30" t="s">
        <v>41</v>
      </c>
    </row>
    <row r="36" spans="1:9" ht="15.75" thickBot="1" x14ac:dyDescent="0.3">
      <c r="A36" s="31" t="s">
        <v>42</v>
      </c>
      <c r="B36" s="31" t="s">
        <v>42</v>
      </c>
      <c r="C36" s="31" t="s">
        <v>42</v>
      </c>
      <c r="D36" s="31" t="s">
        <v>43</v>
      </c>
      <c r="F36" s="31" t="s">
        <v>42</v>
      </c>
      <c r="G36" s="31" t="s">
        <v>42</v>
      </c>
      <c r="H36" s="31" t="s">
        <v>42</v>
      </c>
      <c r="I36" s="31" t="s">
        <v>43</v>
      </c>
    </row>
    <row r="37" spans="1:9" ht="15.75" thickTop="1" x14ac:dyDescent="0.25">
      <c r="A37" s="32">
        <v>0.01</v>
      </c>
      <c r="B37" s="35">
        <v>2892.6</v>
      </c>
      <c r="C37" s="32">
        <v>0</v>
      </c>
      <c r="D37" s="33">
        <v>1.9199999999999998E-2</v>
      </c>
      <c r="F37" s="32">
        <v>0.01</v>
      </c>
      <c r="G37" s="35">
        <v>3471.12</v>
      </c>
      <c r="H37" s="32">
        <v>0</v>
      </c>
      <c r="I37" s="33">
        <v>1.9199999999999998E-2</v>
      </c>
    </row>
    <row r="38" spans="1:9" x14ac:dyDescent="0.25">
      <c r="A38" s="35">
        <v>2892.61</v>
      </c>
      <c r="B38" s="35">
        <v>24550.9</v>
      </c>
      <c r="C38" s="32">
        <v>55.55</v>
      </c>
      <c r="D38" s="33">
        <v>6.4000000000000001E-2</v>
      </c>
      <c r="F38" s="35">
        <v>3471.13</v>
      </c>
      <c r="G38" s="35">
        <v>29461.08</v>
      </c>
      <c r="H38" s="32">
        <v>66.66</v>
      </c>
      <c r="I38" s="33">
        <v>6.4000000000000001E-2</v>
      </c>
    </row>
    <row r="39" spans="1:9" x14ac:dyDescent="0.25">
      <c r="A39" s="35">
        <v>24550.91</v>
      </c>
      <c r="B39" s="35">
        <v>43146</v>
      </c>
      <c r="C39" s="35">
        <v>1441.65</v>
      </c>
      <c r="D39" s="33">
        <v>0.10879999999999999</v>
      </c>
      <c r="F39" s="35">
        <v>29461.09</v>
      </c>
      <c r="G39" s="35">
        <v>51775.199999999997</v>
      </c>
      <c r="H39" s="35">
        <v>1729.98</v>
      </c>
      <c r="I39" s="33">
        <v>0.10879999999999999</v>
      </c>
    </row>
    <row r="40" spans="1:9" x14ac:dyDescent="0.25">
      <c r="A40" s="35">
        <v>43146.01</v>
      </c>
      <c r="B40" s="35">
        <v>50155.35</v>
      </c>
      <c r="C40" s="35">
        <v>3464.8</v>
      </c>
      <c r="D40" s="33">
        <v>0.16</v>
      </c>
      <c r="F40" s="35">
        <v>51775.21</v>
      </c>
      <c r="G40" s="35">
        <v>60186.42</v>
      </c>
      <c r="H40" s="35">
        <v>4157.76</v>
      </c>
      <c r="I40" s="33">
        <v>0.16</v>
      </c>
    </row>
    <row r="41" spans="1:9" x14ac:dyDescent="0.25">
      <c r="A41" s="35">
        <v>50155.360000000001</v>
      </c>
      <c r="B41" s="35">
        <v>60049.7</v>
      </c>
      <c r="C41" s="35">
        <v>4586.3</v>
      </c>
      <c r="D41" s="33">
        <v>0.1792</v>
      </c>
      <c r="F41" s="35">
        <v>60186.43</v>
      </c>
      <c r="G41" s="35">
        <v>72059.64</v>
      </c>
      <c r="H41" s="35">
        <v>5503.56</v>
      </c>
      <c r="I41" s="33">
        <v>0.1792</v>
      </c>
    </row>
    <row r="42" spans="1:9" x14ac:dyDescent="0.25">
      <c r="A42" s="35">
        <v>60049.71</v>
      </c>
      <c r="B42" s="35">
        <v>121111.55</v>
      </c>
      <c r="C42" s="35">
        <v>6359.35</v>
      </c>
      <c r="D42" s="33">
        <v>0.21360000000000001</v>
      </c>
      <c r="F42" s="35">
        <v>72059.649999999994</v>
      </c>
      <c r="G42" s="35">
        <v>145333.85999999999</v>
      </c>
      <c r="H42" s="35">
        <v>7631.22</v>
      </c>
      <c r="I42" s="33">
        <v>0.21360000000000001</v>
      </c>
    </row>
    <row r="43" spans="1:9" x14ac:dyDescent="0.25">
      <c r="A43" s="35">
        <v>121111.56</v>
      </c>
      <c r="B43" s="35">
        <v>190888.45</v>
      </c>
      <c r="C43" s="35">
        <v>19402.2</v>
      </c>
      <c r="D43" s="33">
        <v>0.23519999999999999</v>
      </c>
      <c r="F43" s="35">
        <v>145333.87</v>
      </c>
      <c r="G43" s="35">
        <v>229066.14</v>
      </c>
      <c r="H43" s="35">
        <v>23282.639999999999</v>
      </c>
      <c r="I43" s="33">
        <v>0.23519999999999999</v>
      </c>
    </row>
    <row r="44" spans="1:9" x14ac:dyDescent="0.25">
      <c r="A44" s="35">
        <v>190888.46</v>
      </c>
      <c r="B44" s="35">
        <v>364437.5</v>
      </c>
      <c r="C44" s="35">
        <v>35813.699999999997</v>
      </c>
      <c r="D44" s="33">
        <v>0.3</v>
      </c>
      <c r="F44" s="35">
        <v>229066.15</v>
      </c>
      <c r="G44" s="35">
        <v>437325</v>
      </c>
      <c r="H44" s="35">
        <v>42976.44</v>
      </c>
      <c r="I44" s="33">
        <v>0.3</v>
      </c>
    </row>
    <row r="45" spans="1:9" x14ac:dyDescent="0.25">
      <c r="A45" s="35">
        <v>364437.51</v>
      </c>
      <c r="B45" s="35">
        <v>485916.65</v>
      </c>
      <c r="C45" s="35">
        <v>87878.45</v>
      </c>
      <c r="D45" s="33">
        <v>0.32</v>
      </c>
      <c r="F45" s="35">
        <v>437325.01</v>
      </c>
      <c r="G45" s="35">
        <v>583099.98</v>
      </c>
      <c r="H45" s="35">
        <v>105454.14</v>
      </c>
      <c r="I45" s="33">
        <v>0.32</v>
      </c>
    </row>
    <row r="46" spans="1:9" x14ac:dyDescent="0.25">
      <c r="A46" s="35">
        <v>485916.66</v>
      </c>
      <c r="B46" s="35">
        <v>1457750</v>
      </c>
      <c r="C46" s="35">
        <v>126751.75</v>
      </c>
      <c r="D46" s="33">
        <v>0.34</v>
      </c>
      <c r="F46" s="35">
        <v>583099.99</v>
      </c>
      <c r="G46" s="35">
        <v>1749300</v>
      </c>
      <c r="H46" s="35">
        <v>152102.1</v>
      </c>
      <c r="I46" s="33">
        <v>0.34</v>
      </c>
    </row>
    <row r="47" spans="1:9" ht="15.75" thickBot="1" x14ac:dyDescent="0.3">
      <c r="A47" s="36">
        <v>1457750.01</v>
      </c>
      <c r="B47" s="37" t="s">
        <v>44</v>
      </c>
      <c r="C47" s="36">
        <v>457175.1</v>
      </c>
      <c r="D47" s="38">
        <v>0.35</v>
      </c>
      <c r="F47" s="36">
        <v>1749300.01</v>
      </c>
      <c r="G47" s="37" t="s">
        <v>44</v>
      </c>
      <c r="H47" s="36">
        <v>548610.12</v>
      </c>
      <c r="I47" s="38">
        <v>0.35</v>
      </c>
    </row>
    <row r="48" spans="1:9" ht="16.5" thickTop="1" thickBot="1" x14ac:dyDescent="0.3">
      <c r="A48" s="41"/>
      <c r="B48" s="41"/>
      <c r="C48" s="41"/>
      <c r="D48" s="41"/>
    </row>
    <row r="49" spans="1:9" ht="39.75" customHeight="1" thickTop="1" thickBot="1" x14ac:dyDescent="0.3">
      <c r="A49" s="518" t="s">
        <v>49</v>
      </c>
      <c r="B49" s="518"/>
      <c r="C49" s="518"/>
      <c r="D49" s="518"/>
      <c r="F49" s="517" t="s">
        <v>50</v>
      </c>
      <c r="G49" s="517"/>
      <c r="H49" s="517"/>
      <c r="I49" s="517"/>
    </row>
    <row r="50" spans="1:9" ht="23.25" thickTop="1" x14ac:dyDescent="0.25">
      <c r="A50" s="42" t="s">
        <v>37</v>
      </c>
      <c r="B50" s="29" t="s">
        <v>38</v>
      </c>
      <c r="C50" s="29" t="s">
        <v>39</v>
      </c>
      <c r="D50" s="29" t="s">
        <v>40</v>
      </c>
      <c r="F50" s="29" t="s">
        <v>37</v>
      </c>
      <c r="G50" s="29" t="s">
        <v>38</v>
      </c>
      <c r="H50" s="29" t="s">
        <v>39</v>
      </c>
      <c r="I50" s="29" t="s">
        <v>40</v>
      </c>
    </row>
    <row r="51" spans="1:9" ht="22.5" x14ac:dyDescent="0.25">
      <c r="A51" s="30"/>
      <c r="B51" s="30"/>
      <c r="C51" s="30"/>
      <c r="D51" s="30" t="s">
        <v>41</v>
      </c>
      <c r="F51" s="30"/>
      <c r="G51" s="30"/>
      <c r="H51" s="30"/>
      <c r="I51" s="30" t="s">
        <v>41</v>
      </c>
    </row>
    <row r="52" spans="1:9" ht="15.75" thickBot="1" x14ac:dyDescent="0.3">
      <c r="A52" s="31" t="s">
        <v>42</v>
      </c>
      <c r="B52" s="31" t="s">
        <v>42</v>
      </c>
      <c r="C52" s="31" t="s">
        <v>42</v>
      </c>
      <c r="D52" s="31" t="s">
        <v>43</v>
      </c>
      <c r="F52" s="31" t="s">
        <v>42</v>
      </c>
      <c r="G52" s="31" t="s">
        <v>42</v>
      </c>
      <c r="H52" s="31" t="s">
        <v>42</v>
      </c>
      <c r="I52" s="31" t="s">
        <v>43</v>
      </c>
    </row>
    <row r="53" spans="1:9" ht="15.75" thickTop="1" x14ac:dyDescent="0.25">
      <c r="A53" s="32">
        <v>0.01</v>
      </c>
      <c r="B53" s="35">
        <v>4049.64</v>
      </c>
      <c r="C53" s="32">
        <v>0</v>
      </c>
      <c r="D53" s="33">
        <v>1.9199999999999998E-2</v>
      </c>
      <c r="F53" s="32">
        <v>0.01</v>
      </c>
      <c r="G53" s="35">
        <v>4628.16</v>
      </c>
      <c r="H53" s="32">
        <v>0</v>
      </c>
      <c r="I53" s="33">
        <v>1.9199999999999998E-2</v>
      </c>
    </row>
    <row r="54" spans="1:9" x14ac:dyDescent="0.25">
      <c r="A54" s="35">
        <v>4049.65</v>
      </c>
      <c r="B54" s="35">
        <v>34371.26</v>
      </c>
      <c r="C54" s="32">
        <v>77.77</v>
      </c>
      <c r="D54" s="33">
        <v>6.4000000000000001E-2</v>
      </c>
      <c r="F54" s="35">
        <v>4628.17</v>
      </c>
      <c r="G54" s="35">
        <v>39281.440000000002</v>
      </c>
      <c r="H54" s="32">
        <v>88.88</v>
      </c>
      <c r="I54" s="33">
        <v>6.4000000000000001E-2</v>
      </c>
    </row>
    <row r="55" spans="1:9" x14ac:dyDescent="0.25">
      <c r="A55" s="35">
        <v>34371.269999999997</v>
      </c>
      <c r="B55" s="35">
        <v>60404.4</v>
      </c>
      <c r="C55" s="35">
        <v>2018.31</v>
      </c>
      <c r="D55" s="33">
        <v>0.10879999999999999</v>
      </c>
      <c r="F55" s="35">
        <v>39281.449999999997</v>
      </c>
      <c r="G55" s="35">
        <v>69033.600000000006</v>
      </c>
      <c r="H55" s="35">
        <v>2306.64</v>
      </c>
      <c r="I55" s="33">
        <v>0.10879999999999999</v>
      </c>
    </row>
    <row r="56" spans="1:9" x14ac:dyDescent="0.25">
      <c r="A56" s="35">
        <v>60404.41</v>
      </c>
      <c r="B56" s="35">
        <v>70217.490000000005</v>
      </c>
      <c r="C56" s="35">
        <v>4850.72</v>
      </c>
      <c r="D56" s="33">
        <v>0.16</v>
      </c>
      <c r="F56" s="35">
        <v>69033.61</v>
      </c>
      <c r="G56" s="35">
        <v>80248.56</v>
      </c>
      <c r="H56" s="35">
        <v>5543.68</v>
      </c>
      <c r="I56" s="33">
        <v>0.16</v>
      </c>
    </row>
    <row r="57" spans="1:9" x14ac:dyDescent="0.25">
      <c r="A57" s="35">
        <v>70217.5</v>
      </c>
      <c r="B57" s="35">
        <v>84069.58</v>
      </c>
      <c r="C57" s="35">
        <v>6420.82</v>
      </c>
      <c r="D57" s="33">
        <v>0.1792</v>
      </c>
      <c r="F57" s="35">
        <v>80248.570000000007</v>
      </c>
      <c r="G57" s="35">
        <v>96079.52</v>
      </c>
      <c r="H57" s="35">
        <v>7338.08</v>
      </c>
      <c r="I57" s="33">
        <v>0.1792</v>
      </c>
    </row>
    <row r="58" spans="1:9" x14ac:dyDescent="0.25">
      <c r="A58" s="35">
        <v>84069.59</v>
      </c>
      <c r="B58" s="35">
        <v>169556.17</v>
      </c>
      <c r="C58" s="35">
        <v>8903.09</v>
      </c>
      <c r="D58" s="33">
        <v>0.21360000000000001</v>
      </c>
      <c r="F58" s="35">
        <v>96079.53</v>
      </c>
      <c r="G58" s="35">
        <v>193778.48</v>
      </c>
      <c r="H58" s="35">
        <v>10174.959999999999</v>
      </c>
      <c r="I58" s="33">
        <v>0.21360000000000001</v>
      </c>
    </row>
    <row r="59" spans="1:9" x14ac:dyDescent="0.25">
      <c r="A59" s="35">
        <v>169556.18</v>
      </c>
      <c r="B59" s="35">
        <v>267243.83</v>
      </c>
      <c r="C59" s="35">
        <v>27163.08</v>
      </c>
      <c r="D59" s="33">
        <v>0.23519999999999999</v>
      </c>
      <c r="F59" s="35">
        <v>193778.49</v>
      </c>
      <c r="G59" s="35">
        <v>305421.52</v>
      </c>
      <c r="H59" s="35">
        <v>31043.52</v>
      </c>
      <c r="I59" s="33">
        <v>0.23519999999999999</v>
      </c>
    </row>
    <row r="60" spans="1:9" x14ac:dyDescent="0.25">
      <c r="A60" s="35">
        <v>267243.84000000003</v>
      </c>
      <c r="B60" s="35">
        <v>510212.5</v>
      </c>
      <c r="C60" s="35">
        <v>50139.18</v>
      </c>
      <c r="D60" s="33">
        <v>0.3</v>
      </c>
      <c r="F60" s="35">
        <v>305421.53000000003</v>
      </c>
      <c r="G60" s="35">
        <v>583100</v>
      </c>
      <c r="H60" s="35">
        <v>57301.919999999998</v>
      </c>
      <c r="I60" s="33">
        <v>0.3</v>
      </c>
    </row>
    <row r="61" spans="1:9" x14ac:dyDescent="0.25">
      <c r="A61" s="35">
        <v>510212.51</v>
      </c>
      <c r="B61" s="35">
        <v>680283.31</v>
      </c>
      <c r="C61" s="35">
        <v>123029.83</v>
      </c>
      <c r="D61" s="33">
        <v>0.32</v>
      </c>
      <c r="F61" s="35">
        <v>583100.01</v>
      </c>
      <c r="G61" s="35">
        <v>777466.64</v>
      </c>
      <c r="H61" s="35">
        <v>140605.51999999999</v>
      </c>
      <c r="I61" s="33">
        <v>0.32</v>
      </c>
    </row>
    <row r="62" spans="1:9" x14ac:dyDescent="0.25">
      <c r="A62" s="35">
        <v>680283.32</v>
      </c>
      <c r="B62" s="35">
        <v>2040850</v>
      </c>
      <c r="C62" s="35">
        <v>177452.45</v>
      </c>
      <c r="D62" s="33">
        <v>0.34</v>
      </c>
      <c r="F62" s="35">
        <v>777466.65</v>
      </c>
      <c r="G62" s="35">
        <v>2332400</v>
      </c>
      <c r="H62" s="35">
        <v>202802.8</v>
      </c>
      <c r="I62" s="33">
        <v>0.34</v>
      </c>
    </row>
    <row r="63" spans="1:9" ht="15.75" thickBot="1" x14ac:dyDescent="0.3">
      <c r="A63" s="36">
        <v>2040850.01</v>
      </c>
      <c r="B63" s="37" t="s">
        <v>44</v>
      </c>
      <c r="C63" s="36">
        <v>640045.14</v>
      </c>
      <c r="D63" s="38">
        <v>0.35</v>
      </c>
      <c r="F63" s="36">
        <v>2332400.0099999998</v>
      </c>
      <c r="G63" s="37" t="s">
        <v>44</v>
      </c>
      <c r="H63" s="36">
        <v>731480.16</v>
      </c>
      <c r="I63" s="38">
        <v>0.35</v>
      </c>
    </row>
    <row r="64" spans="1:9" ht="16.5" thickTop="1" thickBot="1" x14ac:dyDescent="0.3">
      <c r="A64" s="40"/>
      <c r="B64" s="41"/>
      <c r="C64" s="41"/>
      <c r="D64" s="41"/>
      <c r="F64" s="41"/>
      <c r="G64" s="41"/>
      <c r="H64" s="41"/>
      <c r="I64" s="41"/>
    </row>
    <row r="65" spans="1:9" ht="55.5" customHeight="1" thickTop="1" thickBot="1" x14ac:dyDescent="0.3">
      <c r="A65" s="518" t="s">
        <v>51</v>
      </c>
      <c r="B65" s="518"/>
      <c r="C65" s="518"/>
      <c r="D65" s="518"/>
      <c r="F65" s="518" t="s">
        <v>52</v>
      </c>
      <c r="G65" s="518"/>
      <c r="H65" s="518"/>
      <c r="I65" s="518"/>
    </row>
    <row r="66" spans="1:9" ht="23.25" thickTop="1" x14ac:dyDescent="0.25">
      <c r="A66" s="29" t="s">
        <v>37</v>
      </c>
      <c r="B66" s="29" t="s">
        <v>38</v>
      </c>
      <c r="C66" s="29" t="s">
        <v>39</v>
      </c>
      <c r="D66" s="29" t="s">
        <v>40</v>
      </c>
      <c r="F66" s="42" t="s">
        <v>37</v>
      </c>
      <c r="G66" s="29" t="s">
        <v>38</v>
      </c>
      <c r="H66" s="29" t="s">
        <v>39</v>
      </c>
      <c r="I66" s="29" t="s">
        <v>40</v>
      </c>
    </row>
    <row r="67" spans="1:9" ht="22.5" x14ac:dyDescent="0.25">
      <c r="A67" s="30"/>
      <c r="B67" s="30"/>
      <c r="C67" s="30"/>
      <c r="D67" s="30" t="s">
        <v>41</v>
      </c>
      <c r="F67" s="30"/>
      <c r="G67" s="30"/>
      <c r="H67" s="30"/>
      <c r="I67" s="30" t="s">
        <v>41</v>
      </c>
    </row>
    <row r="68" spans="1:9" ht="15.75" thickBot="1" x14ac:dyDescent="0.3">
      <c r="A68" s="31" t="s">
        <v>42</v>
      </c>
      <c r="B68" s="31" t="s">
        <v>42</v>
      </c>
      <c r="C68" s="31" t="s">
        <v>42</v>
      </c>
      <c r="D68" s="31" t="s">
        <v>43</v>
      </c>
      <c r="F68" s="31" t="s">
        <v>42</v>
      </c>
      <c r="G68" s="31" t="s">
        <v>42</v>
      </c>
      <c r="H68" s="31" t="s">
        <v>42</v>
      </c>
      <c r="I68" s="31" t="s">
        <v>43</v>
      </c>
    </row>
    <row r="69" spans="1:9" ht="15.75" thickTop="1" x14ac:dyDescent="0.25">
      <c r="A69" s="32">
        <v>0.01</v>
      </c>
      <c r="B69" s="35">
        <v>5206.68</v>
      </c>
      <c r="C69" s="32">
        <v>0</v>
      </c>
      <c r="D69" s="33">
        <v>1.9199999999999998E-2</v>
      </c>
      <c r="F69" s="32">
        <v>0.01</v>
      </c>
      <c r="G69" s="35">
        <v>5785.2</v>
      </c>
      <c r="H69" s="32">
        <v>0</v>
      </c>
      <c r="I69" s="33">
        <v>1.9199999999999998E-2</v>
      </c>
    </row>
    <row r="70" spans="1:9" x14ac:dyDescent="0.25">
      <c r="A70" s="35">
        <v>5206.6899999999996</v>
      </c>
      <c r="B70" s="35">
        <v>44191.62</v>
      </c>
      <c r="C70" s="32">
        <v>99.99</v>
      </c>
      <c r="D70" s="33">
        <v>6.4000000000000001E-2</v>
      </c>
      <c r="F70" s="35">
        <v>5785.21</v>
      </c>
      <c r="G70" s="35">
        <v>49101.8</v>
      </c>
      <c r="H70" s="32">
        <v>111.1</v>
      </c>
      <c r="I70" s="33">
        <v>6.4000000000000001E-2</v>
      </c>
    </row>
    <row r="71" spans="1:9" x14ac:dyDescent="0.25">
      <c r="A71" s="35">
        <v>44191.63</v>
      </c>
      <c r="B71" s="35">
        <v>77662.8</v>
      </c>
      <c r="C71" s="35">
        <v>2594.9699999999998</v>
      </c>
      <c r="D71" s="33">
        <v>0.10879999999999999</v>
      </c>
      <c r="F71" s="35">
        <v>49101.81</v>
      </c>
      <c r="G71" s="35">
        <v>86292</v>
      </c>
      <c r="H71" s="35">
        <v>2883.3</v>
      </c>
      <c r="I71" s="33">
        <v>0.10879999999999999</v>
      </c>
    </row>
    <row r="72" spans="1:9" x14ac:dyDescent="0.25">
      <c r="A72" s="35">
        <v>77662.81</v>
      </c>
      <c r="B72" s="35">
        <v>90279.63</v>
      </c>
      <c r="C72" s="35">
        <v>6236.64</v>
      </c>
      <c r="D72" s="33">
        <v>0.16</v>
      </c>
      <c r="F72" s="35">
        <v>86292.01</v>
      </c>
      <c r="G72" s="35">
        <v>100310.7</v>
      </c>
      <c r="H72" s="35">
        <v>6929.6</v>
      </c>
      <c r="I72" s="33">
        <v>0.16</v>
      </c>
    </row>
    <row r="73" spans="1:9" x14ac:dyDescent="0.25">
      <c r="A73" s="35">
        <v>90279.64</v>
      </c>
      <c r="B73" s="35">
        <v>108089.46</v>
      </c>
      <c r="C73" s="35">
        <v>8255.34</v>
      </c>
      <c r="D73" s="33">
        <v>0.1792</v>
      </c>
      <c r="F73" s="35">
        <v>100310.71</v>
      </c>
      <c r="G73" s="35">
        <v>120099.4</v>
      </c>
      <c r="H73" s="35">
        <v>9172.6</v>
      </c>
      <c r="I73" s="33">
        <v>0.1792</v>
      </c>
    </row>
    <row r="74" spans="1:9" x14ac:dyDescent="0.25">
      <c r="A74" s="35">
        <v>108089.47</v>
      </c>
      <c r="B74" s="35">
        <v>218000.79</v>
      </c>
      <c r="C74" s="35">
        <v>11446.83</v>
      </c>
      <c r="D74" s="33">
        <v>0.21360000000000001</v>
      </c>
      <c r="F74" s="35">
        <v>120099.41</v>
      </c>
      <c r="G74" s="35">
        <v>242223.1</v>
      </c>
      <c r="H74" s="35">
        <v>12718.7</v>
      </c>
      <c r="I74" s="33">
        <v>0.21360000000000001</v>
      </c>
    </row>
    <row r="75" spans="1:9" x14ac:dyDescent="0.25">
      <c r="A75" s="35">
        <v>218000.8</v>
      </c>
      <c r="B75" s="35">
        <v>343599.21</v>
      </c>
      <c r="C75" s="35">
        <v>34923.96</v>
      </c>
      <c r="D75" s="33">
        <v>0.23519999999999999</v>
      </c>
      <c r="F75" s="35">
        <v>242223.11</v>
      </c>
      <c r="G75" s="35">
        <v>381776.9</v>
      </c>
      <c r="H75" s="35">
        <v>38804.400000000001</v>
      </c>
      <c r="I75" s="33">
        <v>0.23519999999999999</v>
      </c>
    </row>
    <row r="76" spans="1:9" x14ac:dyDescent="0.25">
      <c r="A76" s="35">
        <v>343599.22</v>
      </c>
      <c r="B76" s="35">
        <v>655987.5</v>
      </c>
      <c r="C76" s="35">
        <v>64464.66</v>
      </c>
      <c r="D76" s="33">
        <v>0.3</v>
      </c>
      <c r="F76" s="35">
        <v>381776.91</v>
      </c>
      <c r="G76" s="35">
        <v>728875</v>
      </c>
      <c r="H76" s="35">
        <v>71627.399999999994</v>
      </c>
      <c r="I76" s="33">
        <v>0.3</v>
      </c>
    </row>
    <row r="77" spans="1:9" x14ac:dyDescent="0.25">
      <c r="A77" s="35">
        <v>655987.51</v>
      </c>
      <c r="B77" s="35">
        <v>874649.97</v>
      </c>
      <c r="C77" s="35">
        <v>158181.21</v>
      </c>
      <c r="D77" s="33">
        <v>0.32</v>
      </c>
      <c r="F77" s="35">
        <v>728875.01</v>
      </c>
      <c r="G77" s="35">
        <v>971833.3</v>
      </c>
      <c r="H77" s="35">
        <v>175756.9</v>
      </c>
      <c r="I77" s="33">
        <v>0.32</v>
      </c>
    </row>
    <row r="78" spans="1:9" x14ac:dyDescent="0.25">
      <c r="A78" s="35">
        <v>874649.98</v>
      </c>
      <c r="B78" s="35">
        <v>2623950</v>
      </c>
      <c r="C78" s="35">
        <v>228153.15</v>
      </c>
      <c r="D78" s="33">
        <v>0.34</v>
      </c>
      <c r="F78" s="35">
        <v>971833.31</v>
      </c>
      <c r="G78" s="35">
        <v>2915500</v>
      </c>
      <c r="H78" s="35">
        <v>253503.5</v>
      </c>
      <c r="I78" s="33">
        <v>0.34</v>
      </c>
    </row>
    <row r="79" spans="1:9" ht="15.75" thickBot="1" x14ac:dyDescent="0.3">
      <c r="A79" s="36">
        <v>2623950.0099999998</v>
      </c>
      <c r="B79" s="37" t="s">
        <v>44</v>
      </c>
      <c r="C79" s="36">
        <v>822915.18</v>
      </c>
      <c r="D79" s="38">
        <v>0.35</v>
      </c>
      <c r="F79" s="36">
        <v>2915500.01</v>
      </c>
      <c r="G79" s="37" t="s">
        <v>44</v>
      </c>
      <c r="H79" s="36">
        <v>914350.2</v>
      </c>
      <c r="I79" s="38">
        <v>0.35</v>
      </c>
    </row>
    <row r="80" spans="1:9" ht="16.5" thickTop="1" thickBot="1" x14ac:dyDescent="0.3">
      <c r="A80" s="40"/>
      <c r="B80" s="41"/>
      <c r="C80" s="41"/>
      <c r="D80" s="41"/>
    </row>
    <row r="81" spans="1:9" s="43" customFormat="1" ht="55.5" customHeight="1" thickTop="1" thickBot="1" x14ac:dyDescent="0.3">
      <c r="A81" s="518" t="s">
        <v>53</v>
      </c>
      <c r="B81" s="518"/>
      <c r="C81" s="518"/>
      <c r="D81" s="518"/>
      <c r="F81" s="517" t="s">
        <v>54</v>
      </c>
      <c r="G81" s="517"/>
      <c r="H81" s="517"/>
      <c r="I81" s="517"/>
    </row>
    <row r="82" spans="1:9" ht="23.25" thickTop="1" x14ac:dyDescent="0.25">
      <c r="A82" s="42" t="s">
        <v>37</v>
      </c>
      <c r="B82" s="29" t="s">
        <v>38</v>
      </c>
      <c r="C82" s="29" t="s">
        <v>39</v>
      </c>
      <c r="D82" s="29" t="s">
        <v>40</v>
      </c>
      <c r="E82" s="44"/>
      <c r="F82" s="42" t="s">
        <v>37</v>
      </c>
      <c r="G82" s="29" t="s">
        <v>38</v>
      </c>
      <c r="H82" s="29" t="s">
        <v>39</v>
      </c>
      <c r="I82" s="29" t="s">
        <v>40</v>
      </c>
    </row>
    <row r="83" spans="1:9" ht="22.5" x14ac:dyDescent="0.25">
      <c r="A83" s="30"/>
      <c r="B83" s="30"/>
      <c r="C83" s="30"/>
      <c r="D83" s="30" t="s">
        <v>41</v>
      </c>
      <c r="E83" s="44"/>
      <c r="F83" s="30"/>
      <c r="G83" s="30"/>
      <c r="H83" s="30"/>
      <c r="I83" s="30" t="s">
        <v>41</v>
      </c>
    </row>
    <row r="84" spans="1:9" ht="15.75" thickBot="1" x14ac:dyDescent="0.3">
      <c r="A84" s="31" t="s">
        <v>42</v>
      </c>
      <c r="B84" s="31" t="s">
        <v>42</v>
      </c>
      <c r="C84" s="31" t="s">
        <v>42</v>
      </c>
      <c r="D84" s="31" t="s">
        <v>43</v>
      </c>
      <c r="E84" s="44"/>
      <c r="F84" s="31" t="s">
        <v>42</v>
      </c>
      <c r="G84" s="31" t="s">
        <v>42</v>
      </c>
      <c r="H84" s="31" t="s">
        <v>42</v>
      </c>
      <c r="I84" s="31" t="s">
        <v>43</v>
      </c>
    </row>
    <row r="85" spans="1:9" ht="15.75" thickTop="1" x14ac:dyDescent="0.25">
      <c r="A85" s="32">
        <v>0.01</v>
      </c>
      <c r="B85" s="35">
        <v>6363.72</v>
      </c>
      <c r="C85" s="32">
        <v>0</v>
      </c>
      <c r="D85" s="33">
        <v>1.9199999999999998E-2</v>
      </c>
      <c r="F85" s="32">
        <v>0.01</v>
      </c>
      <c r="G85" s="35">
        <v>6942.2</v>
      </c>
      <c r="H85" s="32">
        <v>0</v>
      </c>
      <c r="I85" s="33">
        <v>1.9199999999999998E-2</v>
      </c>
    </row>
    <row r="86" spans="1:9" x14ac:dyDescent="0.25">
      <c r="A86" s="35">
        <v>6363.73</v>
      </c>
      <c r="B86" s="35">
        <v>54011.98</v>
      </c>
      <c r="C86" s="32">
        <v>122.21</v>
      </c>
      <c r="D86" s="33">
        <v>6.4000000000000001E-2</v>
      </c>
      <c r="F86" s="35">
        <v>6942.21</v>
      </c>
      <c r="G86" s="35">
        <v>58922.16</v>
      </c>
      <c r="H86" s="32">
        <v>133.28</v>
      </c>
      <c r="I86" s="33">
        <v>6.4000000000000001E-2</v>
      </c>
    </row>
    <row r="87" spans="1:9" x14ac:dyDescent="0.25">
      <c r="A87" s="35">
        <v>54011.99</v>
      </c>
      <c r="B87" s="35">
        <v>94921.2</v>
      </c>
      <c r="C87" s="35">
        <v>3171.63</v>
      </c>
      <c r="D87" s="33">
        <v>0.10879999999999999</v>
      </c>
      <c r="F87" s="35">
        <v>58922.17</v>
      </c>
      <c r="G87" s="35">
        <v>103550.44</v>
      </c>
      <c r="H87" s="35">
        <v>3460.01</v>
      </c>
      <c r="I87" s="33">
        <v>0.10879999999999999</v>
      </c>
    </row>
    <row r="88" spans="1:9" x14ac:dyDescent="0.25">
      <c r="A88" s="35">
        <v>94921.21</v>
      </c>
      <c r="B88" s="35">
        <v>110341.77</v>
      </c>
      <c r="C88" s="35">
        <v>7622.56</v>
      </c>
      <c r="D88" s="33">
        <v>0.16</v>
      </c>
      <c r="F88" s="35">
        <v>103550.45</v>
      </c>
      <c r="G88" s="35">
        <v>120372.83</v>
      </c>
      <c r="H88" s="35">
        <v>8315.57</v>
      </c>
      <c r="I88" s="33">
        <v>0.16</v>
      </c>
    </row>
    <row r="89" spans="1:9" x14ac:dyDescent="0.25">
      <c r="A89" s="35">
        <v>110341.78</v>
      </c>
      <c r="B89" s="35">
        <v>132109.34</v>
      </c>
      <c r="C89" s="35">
        <v>10089.86</v>
      </c>
      <c r="D89" s="33">
        <v>0.1792</v>
      </c>
      <c r="F89" s="35">
        <v>120372.84</v>
      </c>
      <c r="G89" s="35">
        <v>144119.23000000001</v>
      </c>
      <c r="H89" s="35">
        <v>11007.14</v>
      </c>
      <c r="I89" s="33">
        <v>0.1792</v>
      </c>
    </row>
    <row r="90" spans="1:9" x14ac:dyDescent="0.25">
      <c r="A90" s="35">
        <v>132109.35</v>
      </c>
      <c r="B90" s="35">
        <v>266445.40999999997</v>
      </c>
      <c r="C90" s="35">
        <v>13990.57</v>
      </c>
      <c r="D90" s="33">
        <v>0.21360000000000001</v>
      </c>
      <c r="F90" s="35">
        <v>144119.24</v>
      </c>
      <c r="G90" s="35">
        <v>290667.75</v>
      </c>
      <c r="H90" s="35">
        <v>15262.49</v>
      </c>
      <c r="I90" s="33">
        <v>0.21360000000000001</v>
      </c>
    </row>
    <row r="91" spans="1:9" x14ac:dyDescent="0.25">
      <c r="A91" s="35">
        <v>266445.42</v>
      </c>
      <c r="B91" s="35">
        <v>419954.59</v>
      </c>
      <c r="C91" s="35">
        <v>42684.84</v>
      </c>
      <c r="D91" s="33">
        <v>0.23519999999999999</v>
      </c>
      <c r="F91" s="35">
        <v>290667.76</v>
      </c>
      <c r="G91" s="35">
        <v>458132.29</v>
      </c>
      <c r="H91" s="35">
        <v>46565.26</v>
      </c>
      <c r="I91" s="33">
        <v>0.23519999999999999</v>
      </c>
    </row>
    <row r="92" spans="1:9" x14ac:dyDescent="0.25">
      <c r="A92" s="35">
        <v>419954.6</v>
      </c>
      <c r="B92" s="35">
        <v>801762.5</v>
      </c>
      <c r="C92" s="35">
        <v>78790.14</v>
      </c>
      <c r="D92" s="33">
        <v>0.3</v>
      </c>
      <c r="F92" s="35">
        <v>458132.3</v>
      </c>
      <c r="G92" s="35">
        <v>874650</v>
      </c>
      <c r="H92" s="35">
        <v>85952.92</v>
      </c>
      <c r="I92" s="33">
        <v>0.3</v>
      </c>
    </row>
    <row r="93" spans="1:9" x14ac:dyDescent="0.25">
      <c r="A93" s="35">
        <v>801762.51</v>
      </c>
      <c r="B93" s="35">
        <v>1069016.6299999999</v>
      </c>
      <c r="C93" s="35">
        <v>193332.59</v>
      </c>
      <c r="D93" s="33">
        <v>0.32</v>
      </c>
      <c r="F93" s="35">
        <v>874650.01</v>
      </c>
      <c r="G93" s="35">
        <v>1166200</v>
      </c>
      <c r="H93" s="35">
        <v>210908.23</v>
      </c>
      <c r="I93" s="33">
        <v>0.32</v>
      </c>
    </row>
    <row r="94" spans="1:9" x14ac:dyDescent="0.25">
      <c r="A94" s="35">
        <v>1069016.6399999999</v>
      </c>
      <c r="B94" s="35">
        <v>3207050</v>
      </c>
      <c r="C94" s="35">
        <v>278853.84999999998</v>
      </c>
      <c r="D94" s="33">
        <v>0.34</v>
      </c>
      <c r="F94" s="35">
        <v>1166200.01</v>
      </c>
      <c r="G94" s="35">
        <v>3498600</v>
      </c>
      <c r="H94" s="35">
        <v>304204.21000000002</v>
      </c>
      <c r="I94" s="33">
        <v>0.34</v>
      </c>
    </row>
    <row r="95" spans="1:9" ht="15.75" thickBot="1" x14ac:dyDescent="0.3">
      <c r="A95" s="36">
        <v>3207050.01</v>
      </c>
      <c r="B95" s="37" t="s">
        <v>44</v>
      </c>
      <c r="C95" s="36">
        <v>1005785.22</v>
      </c>
      <c r="D95" s="38">
        <v>0.35</v>
      </c>
      <c r="F95" s="36">
        <v>3498600.01</v>
      </c>
      <c r="G95" s="37" t="s">
        <v>44</v>
      </c>
      <c r="H95" s="36">
        <v>1097220.21</v>
      </c>
      <c r="I95" s="38">
        <v>0.35</v>
      </c>
    </row>
    <row r="96" spans="1:9" ht="15.75" thickTop="1" x14ac:dyDescent="0.25"/>
    <row r="97" spans="1:4" ht="13.5" customHeight="1" thickBot="1" x14ac:dyDescent="0.3">
      <c r="A97" s="517" t="s">
        <v>54</v>
      </c>
      <c r="B97" s="517"/>
      <c r="C97" s="517"/>
      <c r="D97" s="517"/>
    </row>
    <row r="98" spans="1:4" ht="23.25" thickTop="1" x14ac:dyDescent="0.25">
      <c r="A98" s="42" t="s">
        <v>37</v>
      </c>
      <c r="B98" s="29" t="s">
        <v>38</v>
      </c>
      <c r="C98" s="29" t="s">
        <v>39</v>
      </c>
      <c r="D98" s="29" t="s">
        <v>40</v>
      </c>
    </row>
    <row r="99" spans="1:4" ht="22.5" x14ac:dyDescent="0.25">
      <c r="A99" s="30"/>
      <c r="B99" s="30"/>
      <c r="C99" s="30"/>
      <c r="D99" s="30" t="s">
        <v>41</v>
      </c>
    </row>
    <row r="100" spans="1:4" ht="15.75" thickBot="1" x14ac:dyDescent="0.3">
      <c r="A100" s="31" t="s">
        <v>42</v>
      </c>
      <c r="B100" s="31" t="s">
        <v>42</v>
      </c>
      <c r="C100" s="31" t="s">
        <v>42</v>
      </c>
      <c r="D100" s="31" t="s">
        <v>43</v>
      </c>
    </row>
    <row r="101" spans="1:4" ht="15.75" thickTop="1" x14ac:dyDescent="0.25">
      <c r="A101" s="32">
        <v>0.01</v>
      </c>
      <c r="B101" s="35">
        <v>6942.2</v>
      </c>
      <c r="C101" s="32">
        <v>0</v>
      </c>
      <c r="D101" s="33">
        <v>1.9199999999999998E-2</v>
      </c>
    </row>
    <row r="102" spans="1:4" x14ac:dyDescent="0.25">
      <c r="A102" s="35">
        <v>6942.21</v>
      </c>
      <c r="B102" s="35">
        <v>58922.16</v>
      </c>
      <c r="C102" s="32">
        <v>133.28</v>
      </c>
      <c r="D102" s="33">
        <v>6.4000000000000001E-2</v>
      </c>
    </row>
    <row r="103" spans="1:4" x14ac:dyDescent="0.25">
      <c r="A103" s="35">
        <v>58922.17</v>
      </c>
      <c r="B103" s="35">
        <v>103550.44</v>
      </c>
      <c r="C103" s="35">
        <v>3460.01</v>
      </c>
      <c r="D103" s="33">
        <v>0.10879999999999999</v>
      </c>
    </row>
    <row r="104" spans="1:4" x14ac:dyDescent="0.25">
      <c r="A104" s="35">
        <v>103550.45</v>
      </c>
      <c r="B104" s="35">
        <v>120372.83</v>
      </c>
      <c r="C104" s="35">
        <v>8315.57</v>
      </c>
      <c r="D104" s="33">
        <v>0.16</v>
      </c>
    </row>
    <row r="105" spans="1:4" x14ac:dyDescent="0.25">
      <c r="A105" s="35">
        <v>120372.84</v>
      </c>
      <c r="B105" s="35">
        <v>144119.23000000001</v>
      </c>
      <c r="C105" s="35">
        <v>11007.14</v>
      </c>
      <c r="D105" s="33">
        <v>0.1792</v>
      </c>
    </row>
    <row r="106" spans="1:4" x14ac:dyDescent="0.25">
      <c r="A106" s="35">
        <v>144119.24</v>
      </c>
      <c r="B106" s="35">
        <v>290667.75</v>
      </c>
      <c r="C106" s="35">
        <v>15262.49</v>
      </c>
      <c r="D106" s="33">
        <v>0.21360000000000001</v>
      </c>
    </row>
    <row r="107" spans="1:4" x14ac:dyDescent="0.25">
      <c r="A107" s="35">
        <v>290667.76</v>
      </c>
      <c r="B107" s="35">
        <v>458132.29</v>
      </c>
      <c r="C107" s="35">
        <v>46565.26</v>
      </c>
      <c r="D107" s="33">
        <v>0.23519999999999999</v>
      </c>
    </row>
    <row r="108" spans="1:4" x14ac:dyDescent="0.25">
      <c r="A108" s="35">
        <v>458132.3</v>
      </c>
      <c r="B108" s="35">
        <v>874650</v>
      </c>
      <c r="C108" s="35">
        <v>85952.92</v>
      </c>
      <c r="D108" s="33">
        <v>0.3</v>
      </c>
    </row>
    <row r="109" spans="1:4" x14ac:dyDescent="0.25">
      <c r="A109" s="35">
        <v>874650.01</v>
      </c>
      <c r="B109" s="35">
        <v>1166200</v>
      </c>
      <c r="C109" s="35">
        <v>210908.23</v>
      </c>
      <c r="D109" s="33">
        <v>0.32</v>
      </c>
    </row>
    <row r="110" spans="1:4" x14ac:dyDescent="0.25">
      <c r="A110" s="35">
        <v>1166200.01</v>
      </c>
      <c r="B110" s="35">
        <v>3498600</v>
      </c>
      <c r="C110" s="35">
        <v>304204.21000000002</v>
      </c>
      <c r="D110" s="33">
        <v>0.34</v>
      </c>
    </row>
    <row r="111" spans="1:4" ht="15.75" thickBot="1" x14ac:dyDescent="0.3">
      <c r="A111" s="36">
        <v>3498600.01</v>
      </c>
      <c r="B111" s="37" t="s">
        <v>44</v>
      </c>
      <c r="C111" s="36">
        <v>1097220.21</v>
      </c>
      <c r="D111" s="38">
        <v>0.35</v>
      </c>
    </row>
    <row r="112" spans="1:4" ht="15.75" thickTop="1" x14ac:dyDescent="0.25"/>
  </sheetData>
  <mergeCells count="13">
    <mergeCell ref="A97:D97"/>
    <mergeCell ref="A49:D49"/>
    <mergeCell ref="F49:I49"/>
    <mergeCell ref="A65:D65"/>
    <mergeCell ref="F65:I65"/>
    <mergeCell ref="A81:D81"/>
    <mergeCell ref="F81:I81"/>
    <mergeCell ref="A1:D1"/>
    <mergeCell ref="F1:I1"/>
    <mergeCell ref="A17:D17"/>
    <mergeCell ref="F17:I17"/>
    <mergeCell ref="A33:D33"/>
    <mergeCell ref="F33:I3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5"/>
  <sheetViews>
    <sheetView showGridLines="0" topLeftCell="A5" workbookViewId="0">
      <selection activeCell="D13" sqref="D13"/>
    </sheetView>
  </sheetViews>
  <sheetFormatPr baseColWidth="10" defaultRowHeight="15" x14ac:dyDescent="0.25"/>
  <cols>
    <col min="1" max="1" width="30.140625" customWidth="1"/>
    <col min="2" max="2" width="0.140625" customWidth="1"/>
    <col min="3" max="14" width="14.140625" customWidth="1"/>
    <col min="15" max="15" width="1.85546875" customWidth="1"/>
    <col min="16" max="16" width="14.85546875" bestFit="1" customWidth="1"/>
    <col min="257" max="257" width="28" customWidth="1"/>
    <col min="258" max="258" width="0.140625" customWidth="1"/>
    <col min="259" max="270" width="14.140625" customWidth="1"/>
    <col min="271" max="271" width="1.85546875" customWidth="1"/>
    <col min="272" max="272" width="14.85546875" bestFit="1" customWidth="1"/>
    <col min="513" max="513" width="28" customWidth="1"/>
    <col min="514" max="514" width="0.140625" customWidth="1"/>
    <col min="515" max="526" width="14.140625" customWidth="1"/>
    <col min="527" max="527" width="1.85546875" customWidth="1"/>
    <col min="528" max="528" width="14.85546875" bestFit="1" customWidth="1"/>
    <col min="769" max="769" width="28" customWidth="1"/>
    <col min="770" max="770" width="0.140625" customWidth="1"/>
    <col min="771" max="782" width="14.140625" customWidth="1"/>
    <col min="783" max="783" width="1.85546875" customWidth="1"/>
    <col min="784" max="784" width="14.85546875" bestFit="1" customWidth="1"/>
    <col min="1025" max="1025" width="28" customWidth="1"/>
    <col min="1026" max="1026" width="0.140625" customWidth="1"/>
    <col min="1027" max="1038" width="14.140625" customWidth="1"/>
    <col min="1039" max="1039" width="1.85546875" customWidth="1"/>
    <col min="1040" max="1040" width="14.85546875" bestFit="1" customWidth="1"/>
    <col min="1281" max="1281" width="28" customWidth="1"/>
    <col min="1282" max="1282" width="0.140625" customWidth="1"/>
    <col min="1283" max="1294" width="14.140625" customWidth="1"/>
    <col min="1295" max="1295" width="1.85546875" customWidth="1"/>
    <col min="1296" max="1296" width="14.85546875" bestFit="1" customWidth="1"/>
    <col min="1537" max="1537" width="28" customWidth="1"/>
    <col min="1538" max="1538" width="0.140625" customWidth="1"/>
    <col min="1539" max="1550" width="14.140625" customWidth="1"/>
    <col min="1551" max="1551" width="1.85546875" customWidth="1"/>
    <col min="1552" max="1552" width="14.85546875" bestFit="1" customWidth="1"/>
    <col min="1793" max="1793" width="28" customWidth="1"/>
    <col min="1794" max="1794" width="0.140625" customWidth="1"/>
    <col min="1795" max="1806" width="14.140625" customWidth="1"/>
    <col min="1807" max="1807" width="1.85546875" customWidth="1"/>
    <col min="1808" max="1808" width="14.85546875" bestFit="1" customWidth="1"/>
    <col min="2049" max="2049" width="28" customWidth="1"/>
    <col min="2050" max="2050" width="0.140625" customWidth="1"/>
    <col min="2051" max="2062" width="14.140625" customWidth="1"/>
    <col min="2063" max="2063" width="1.85546875" customWidth="1"/>
    <col min="2064" max="2064" width="14.85546875" bestFit="1" customWidth="1"/>
    <col min="2305" max="2305" width="28" customWidth="1"/>
    <col min="2306" max="2306" width="0.140625" customWidth="1"/>
    <col min="2307" max="2318" width="14.140625" customWidth="1"/>
    <col min="2319" max="2319" width="1.85546875" customWidth="1"/>
    <col min="2320" max="2320" width="14.85546875" bestFit="1" customWidth="1"/>
    <col min="2561" max="2561" width="28" customWidth="1"/>
    <col min="2562" max="2562" width="0.140625" customWidth="1"/>
    <col min="2563" max="2574" width="14.140625" customWidth="1"/>
    <col min="2575" max="2575" width="1.85546875" customWidth="1"/>
    <col min="2576" max="2576" width="14.85546875" bestFit="1" customWidth="1"/>
    <col min="2817" max="2817" width="28" customWidth="1"/>
    <col min="2818" max="2818" width="0.140625" customWidth="1"/>
    <col min="2819" max="2830" width="14.140625" customWidth="1"/>
    <col min="2831" max="2831" width="1.85546875" customWidth="1"/>
    <col min="2832" max="2832" width="14.85546875" bestFit="1" customWidth="1"/>
    <col min="3073" max="3073" width="28" customWidth="1"/>
    <col min="3074" max="3074" width="0.140625" customWidth="1"/>
    <col min="3075" max="3086" width="14.140625" customWidth="1"/>
    <col min="3087" max="3087" width="1.85546875" customWidth="1"/>
    <col min="3088" max="3088" width="14.85546875" bestFit="1" customWidth="1"/>
    <col min="3329" max="3329" width="28" customWidth="1"/>
    <col min="3330" max="3330" width="0.140625" customWidth="1"/>
    <col min="3331" max="3342" width="14.140625" customWidth="1"/>
    <col min="3343" max="3343" width="1.85546875" customWidth="1"/>
    <col min="3344" max="3344" width="14.85546875" bestFit="1" customWidth="1"/>
    <col min="3585" max="3585" width="28" customWidth="1"/>
    <col min="3586" max="3586" width="0.140625" customWidth="1"/>
    <col min="3587" max="3598" width="14.140625" customWidth="1"/>
    <col min="3599" max="3599" width="1.85546875" customWidth="1"/>
    <col min="3600" max="3600" width="14.85546875" bestFit="1" customWidth="1"/>
    <col min="3841" max="3841" width="28" customWidth="1"/>
    <col min="3842" max="3842" width="0.140625" customWidth="1"/>
    <col min="3843" max="3854" width="14.140625" customWidth="1"/>
    <col min="3855" max="3855" width="1.85546875" customWidth="1"/>
    <col min="3856" max="3856" width="14.85546875" bestFit="1" customWidth="1"/>
    <col min="4097" max="4097" width="28" customWidth="1"/>
    <col min="4098" max="4098" width="0.140625" customWidth="1"/>
    <col min="4099" max="4110" width="14.140625" customWidth="1"/>
    <col min="4111" max="4111" width="1.85546875" customWidth="1"/>
    <col min="4112" max="4112" width="14.85546875" bestFit="1" customWidth="1"/>
    <col min="4353" max="4353" width="28" customWidth="1"/>
    <col min="4354" max="4354" width="0.140625" customWidth="1"/>
    <col min="4355" max="4366" width="14.140625" customWidth="1"/>
    <col min="4367" max="4367" width="1.85546875" customWidth="1"/>
    <col min="4368" max="4368" width="14.85546875" bestFit="1" customWidth="1"/>
    <col min="4609" max="4609" width="28" customWidth="1"/>
    <col min="4610" max="4610" width="0.140625" customWidth="1"/>
    <col min="4611" max="4622" width="14.140625" customWidth="1"/>
    <col min="4623" max="4623" width="1.85546875" customWidth="1"/>
    <col min="4624" max="4624" width="14.85546875" bestFit="1" customWidth="1"/>
    <col min="4865" max="4865" width="28" customWidth="1"/>
    <col min="4866" max="4866" width="0.140625" customWidth="1"/>
    <col min="4867" max="4878" width="14.140625" customWidth="1"/>
    <col min="4879" max="4879" width="1.85546875" customWidth="1"/>
    <col min="4880" max="4880" width="14.85546875" bestFit="1" customWidth="1"/>
    <col min="5121" max="5121" width="28" customWidth="1"/>
    <col min="5122" max="5122" width="0.140625" customWidth="1"/>
    <col min="5123" max="5134" width="14.140625" customWidth="1"/>
    <col min="5135" max="5135" width="1.85546875" customWidth="1"/>
    <col min="5136" max="5136" width="14.85546875" bestFit="1" customWidth="1"/>
    <col min="5377" max="5377" width="28" customWidth="1"/>
    <col min="5378" max="5378" width="0.140625" customWidth="1"/>
    <col min="5379" max="5390" width="14.140625" customWidth="1"/>
    <col min="5391" max="5391" width="1.85546875" customWidth="1"/>
    <col min="5392" max="5392" width="14.85546875" bestFit="1" customWidth="1"/>
    <col min="5633" max="5633" width="28" customWidth="1"/>
    <col min="5634" max="5634" width="0.140625" customWidth="1"/>
    <col min="5635" max="5646" width="14.140625" customWidth="1"/>
    <col min="5647" max="5647" width="1.85546875" customWidth="1"/>
    <col min="5648" max="5648" width="14.85546875" bestFit="1" customWidth="1"/>
    <col min="5889" max="5889" width="28" customWidth="1"/>
    <col min="5890" max="5890" width="0.140625" customWidth="1"/>
    <col min="5891" max="5902" width="14.140625" customWidth="1"/>
    <col min="5903" max="5903" width="1.85546875" customWidth="1"/>
    <col min="5904" max="5904" width="14.85546875" bestFit="1" customWidth="1"/>
    <col min="6145" max="6145" width="28" customWidth="1"/>
    <col min="6146" max="6146" width="0.140625" customWidth="1"/>
    <col min="6147" max="6158" width="14.140625" customWidth="1"/>
    <col min="6159" max="6159" width="1.85546875" customWidth="1"/>
    <col min="6160" max="6160" width="14.85546875" bestFit="1" customWidth="1"/>
    <col min="6401" max="6401" width="28" customWidth="1"/>
    <col min="6402" max="6402" width="0.140625" customWidth="1"/>
    <col min="6403" max="6414" width="14.140625" customWidth="1"/>
    <col min="6415" max="6415" width="1.85546875" customWidth="1"/>
    <col min="6416" max="6416" width="14.85546875" bestFit="1" customWidth="1"/>
    <col min="6657" max="6657" width="28" customWidth="1"/>
    <col min="6658" max="6658" width="0.140625" customWidth="1"/>
    <col min="6659" max="6670" width="14.140625" customWidth="1"/>
    <col min="6671" max="6671" width="1.85546875" customWidth="1"/>
    <col min="6672" max="6672" width="14.85546875" bestFit="1" customWidth="1"/>
    <col min="6913" max="6913" width="28" customWidth="1"/>
    <col min="6914" max="6914" width="0.140625" customWidth="1"/>
    <col min="6915" max="6926" width="14.140625" customWidth="1"/>
    <col min="6927" max="6927" width="1.85546875" customWidth="1"/>
    <col min="6928" max="6928" width="14.85546875" bestFit="1" customWidth="1"/>
    <col min="7169" max="7169" width="28" customWidth="1"/>
    <col min="7170" max="7170" width="0.140625" customWidth="1"/>
    <col min="7171" max="7182" width="14.140625" customWidth="1"/>
    <col min="7183" max="7183" width="1.85546875" customWidth="1"/>
    <col min="7184" max="7184" width="14.85546875" bestFit="1" customWidth="1"/>
    <col min="7425" max="7425" width="28" customWidth="1"/>
    <col min="7426" max="7426" width="0.140625" customWidth="1"/>
    <col min="7427" max="7438" width="14.140625" customWidth="1"/>
    <col min="7439" max="7439" width="1.85546875" customWidth="1"/>
    <col min="7440" max="7440" width="14.85546875" bestFit="1" customWidth="1"/>
    <col min="7681" max="7681" width="28" customWidth="1"/>
    <col min="7682" max="7682" width="0.140625" customWidth="1"/>
    <col min="7683" max="7694" width="14.140625" customWidth="1"/>
    <col min="7695" max="7695" width="1.85546875" customWidth="1"/>
    <col min="7696" max="7696" width="14.85546875" bestFit="1" customWidth="1"/>
    <col min="7937" max="7937" width="28" customWidth="1"/>
    <col min="7938" max="7938" width="0.140625" customWidth="1"/>
    <col min="7939" max="7950" width="14.140625" customWidth="1"/>
    <col min="7951" max="7951" width="1.85546875" customWidth="1"/>
    <col min="7952" max="7952" width="14.85546875" bestFit="1" customWidth="1"/>
    <col min="8193" max="8193" width="28" customWidth="1"/>
    <col min="8194" max="8194" width="0.140625" customWidth="1"/>
    <col min="8195" max="8206" width="14.140625" customWidth="1"/>
    <col min="8207" max="8207" width="1.85546875" customWidth="1"/>
    <col min="8208" max="8208" width="14.85546875" bestFit="1" customWidth="1"/>
    <col min="8449" max="8449" width="28" customWidth="1"/>
    <col min="8450" max="8450" width="0.140625" customWidth="1"/>
    <col min="8451" max="8462" width="14.140625" customWidth="1"/>
    <col min="8463" max="8463" width="1.85546875" customWidth="1"/>
    <col min="8464" max="8464" width="14.85546875" bestFit="1" customWidth="1"/>
    <col min="8705" max="8705" width="28" customWidth="1"/>
    <col min="8706" max="8706" width="0.140625" customWidth="1"/>
    <col min="8707" max="8718" width="14.140625" customWidth="1"/>
    <col min="8719" max="8719" width="1.85546875" customWidth="1"/>
    <col min="8720" max="8720" width="14.85546875" bestFit="1" customWidth="1"/>
    <col min="8961" max="8961" width="28" customWidth="1"/>
    <col min="8962" max="8962" width="0.140625" customWidth="1"/>
    <col min="8963" max="8974" width="14.140625" customWidth="1"/>
    <col min="8975" max="8975" width="1.85546875" customWidth="1"/>
    <col min="8976" max="8976" width="14.85546875" bestFit="1" customWidth="1"/>
    <col min="9217" max="9217" width="28" customWidth="1"/>
    <col min="9218" max="9218" width="0.140625" customWidth="1"/>
    <col min="9219" max="9230" width="14.140625" customWidth="1"/>
    <col min="9231" max="9231" width="1.85546875" customWidth="1"/>
    <col min="9232" max="9232" width="14.85546875" bestFit="1" customWidth="1"/>
    <col min="9473" max="9473" width="28" customWidth="1"/>
    <col min="9474" max="9474" width="0.140625" customWidth="1"/>
    <col min="9475" max="9486" width="14.140625" customWidth="1"/>
    <col min="9487" max="9487" width="1.85546875" customWidth="1"/>
    <col min="9488" max="9488" width="14.85546875" bestFit="1" customWidth="1"/>
    <col min="9729" max="9729" width="28" customWidth="1"/>
    <col min="9730" max="9730" width="0.140625" customWidth="1"/>
    <col min="9731" max="9742" width="14.140625" customWidth="1"/>
    <col min="9743" max="9743" width="1.85546875" customWidth="1"/>
    <col min="9744" max="9744" width="14.85546875" bestFit="1" customWidth="1"/>
    <col min="9985" max="9985" width="28" customWidth="1"/>
    <col min="9986" max="9986" width="0.140625" customWidth="1"/>
    <col min="9987" max="9998" width="14.140625" customWidth="1"/>
    <col min="9999" max="9999" width="1.85546875" customWidth="1"/>
    <col min="10000" max="10000" width="14.85546875" bestFit="1" customWidth="1"/>
    <col min="10241" max="10241" width="28" customWidth="1"/>
    <col min="10242" max="10242" width="0.140625" customWidth="1"/>
    <col min="10243" max="10254" width="14.140625" customWidth="1"/>
    <col min="10255" max="10255" width="1.85546875" customWidth="1"/>
    <col min="10256" max="10256" width="14.85546875" bestFit="1" customWidth="1"/>
    <col min="10497" max="10497" width="28" customWidth="1"/>
    <col min="10498" max="10498" width="0.140625" customWidth="1"/>
    <col min="10499" max="10510" width="14.140625" customWidth="1"/>
    <col min="10511" max="10511" width="1.85546875" customWidth="1"/>
    <col min="10512" max="10512" width="14.85546875" bestFit="1" customWidth="1"/>
    <col min="10753" max="10753" width="28" customWidth="1"/>
    <col min="10754" max="10754" width="0.140625" customWidth="1"/>
    <col min="10755" max="10766" width="14.140625" customWidth="1"/>
    <col min="10767" max="10767" width="1.85546875" customWidth="1"/>
    <col min="10768" max="10768" width="14.85546875" bestFit="1" customWidth="1"/>
    <col min="11009" max="11009" width="28" customWidth="1"/>
    <col min="11010" max="11010" width="0.140625" customWidth="1"/>
    <col min="11011" max="11022" width="14.140625" customWidth="1"/>
    <col min="11023" max="11023" width="1.85546875" customWidth="1"/>
    <col min="11024" max="11024" width="14.85546875" bestFit="1" customWidth="1"/>
    <col min="11265" max="11265" width="28" customWidth="1"/>
    <col min="11266" max="11266" width="0.140625" customWidth="1"/>
    <col min="11267" max="11278" width="14.140625" customWidth="1"/>
    <col min="11279" max="11279" width="1.85546875" customWidth="1"/>
    <col min="11280" max="11280" width="14.85546875" bestFit="1" customWidth="1"/>
    <col min="11521" max="11521" width="28" customWidth="1"/>
    <col min="11522" max="11522" width="0.140625" customWidth="1"/>
    <col min="11523" max="11534" width="14.140625" customWidth="1"/>
    <col min="11535" max="11535" width="1.85546875" customWidth="1"/>
    <col min="11536" max="11536" width="14.85546875" bestFit="1" customWidth="1"/>
    <col min="11777" max="11777" width="28" customWidth="1"/>
    <col min="11778" max="11778" width="0.140625" customWidth="1"/>
    <col min="11779" max="11790" width="14.140625" customWidth="1"/>
    <col min="11791" max="11791" width="1.85546875" customWidth="1"/>
    <col min="11792" max="11792" width="14.85546875" bestFit="1" customWidth="1"/>
    <col min="12033" max="12033" width="28" customWidth="1"/>
    <col min="12034" max="12034" width="0.140625" customWidth="1"/>
    <col min="12035" max="12046" width="14.140625" customWidth="1"/>
    <col min="12047" max="12047" width="1.85546875" customWidth="1"/>
    <col min="12048" max="12048" width="14.85546875" bestFit="1" customWidth="1"/>
    <col min="12289" max="12289" width="28" customWidth="1"/>
    <col min="12290" max="12290" width="0.140625" customWidth="1"/>
    <col min="12291" max="12302" width="14.140625" customWidth="1"/>
    <col min="12303" max="12303" width="1.85546875" customWidth="1"/>
    <col min="12304" max="12304" width="14.85546875" bestFit="1" customWidth="1"/>
    <col min="12545" max="12545" width="28" customWidth="1"/>
    <col min="12546" max="12546" width="0.140625" customWidth="1"/>
    <col min="12547" max="12558" width="14.140625" customWidth="1"/>
    <col min="12559" max="12559" width="1.85546875" customWidth="1"/>
    <col min="12560" max="12560" width="14.85546875" bestFit="1" customWidth="1"/>
    <col min="12801" max="12801" width="28" customWidth="1"/>
    <col min="12802" max="12802" width="0.140625" customWidth="1"/>
    <col min="12803" max="12814" width="14.140625" customWidth="1"/>
    <col min="12815" max="12815" width="1.85546875" customWidth="1"/>
    <col min="12816" max="12816" width="14.85546875" bestFit="1" customWidth="1"/>
    <col min="13057" max="13057" width="28" customWidth="1"/>
    <col min="13058" max="13058" width="0.140625" customWidth="1"/>
    <col min="13059" max="13070" width="14.140625" customWidth="1"/>
    <col min="13071" max="13071" width="1.85546875" customWidth="1"/>
    <col min="13072" max="13072" width="14.85546875" bestFit="1" customWidth="1"/>
    <col min="13313" max="13313" width="28" customWidth="1"/>
    <col min="13314" max="13314" width="0.140625" customWidth="1"/>
    <col min="13315" max="13326" width="14.140625" customWidth="1"/>
    <col min="13327" max="13327" width="1.85546875" customWidth="1"/>
    <col min="13328" max="13328" width="14.85546875" bestFit="1" customWidth="1"/>
    <col min="13569" max="13569" width="28" customWidth="1"/>
    <col min="13570" max="13570" width="0.140625" customWidth="1"/>
    <col min="13571" max="13582" width="14.140625" customWidth="1"/>
    <col min="13583" max="13583" width="1.85546875" customWidth="1"/>
    <col min="13584" max="13584" width="14.85546875" bestFit="1" customWidth="1"/>
    <col min="13825" max="13825" width="28" customWidth="1"/>
    <col min="13826" max="13826" width="0.140625" customWidth="1"/>
    <col min="13827" max="13838" width="14.140625" customWidth="1"/>
    <col min="13839" max="13839" width="1.85546875" customWidth="1"/>
    <col min="13840" max="13840" width="14.85546875" bestFit="1" customWidth="1"/>
    <col min="14081" max="14081" width="28" customWidth="1"/>
    <col min="14082" max="14082" width="0.140625" customWidth="1"/>
    <col min="14083" max="14094" width="14.140625" customWidth="1"/>
    <col min="14095" max="14095" width="1.85546875" customWidth="1"/>
    <col min="14096" max="14096" width="14.85546875" bestFit="1" customWidth="1"/>
    <col min="14337" max="14337" width="28" customWidth="1"/>
    <col min="14338" max="14338" width="0.140625" customWidth="1"/>
    <col min="14339" max="14350" width="14.140625" customWidth="1"/>
    <col min="14351" max="14351" width="1.85546875" customWidth="1"/>
    <col min="14352" max="14352" width="14.85546875" bestFit="1" customWidth="1"/>
    <col min="14593" max="14593" width="28" customWidth="1"/>
    <col min="14594" max="14594" width="0.140625" customWidth="1"/>
    <col min="14595" max="14606" width="14.140625" customWidth="1"/>
    <col min="14607" max="14607" width="1.85546875" customWidth="1"/>
    <col min="14608" max="14608" width="14.85546875" bestFit="1" customWidth="1"/>
    <col min="14849" max="14849" width="28" customWidth="1"/>
    <col min="14850" max="14850" width="0.140625" customWidth="1"/>
    <col min="14851" max="14862" width="14.140625" customWidth="1"/>
    <col min="14863" max="14863" width="1.85546875" customWidth="1"/>
    <col min="14864" max="14864" width="14.85546875" bestFit="1" customWidth="1"/>
    <col min="15105" max="15105" width="28" customWidth="1"/>
    <col min="15106" max="15106" width="0.140625" customWidth="1"/>
    <col min="15107" max="15118" width="14.140625" customWidth="1"/>
    <col min="15119" max="15119" width="1.85546875" customWidth="1"/>
    <col min="15120" max="15120" width="14.85546875" bestFit="1" customWidth="1"/>
    <col min="15361" max="15361" width="28" customWidth="1"/>
    <col min="15362" max="15362" width="0.140625" customWidth="1"/>
    <col min="15363" max="15374" width="14.140625" customWidth="1"/>
    <col min="15375" max="15375" width="1.85546875" customWidth="1"/>
    <col min="15376" max="15376" width="14.85546875" bestFit="1" customWidth="1"/>
    <col min="15617" max="15617" width="28" customWidth="1"/>
    <col min="15618" max="15618" width="0.140625" customWidth="1"/>
    <col min="15619" max="15630" width="14.140625" customWidth="1"/>
    <col min="15631" max="15631" width="1.85546875" customWidth="1"/>
    <col min="15632" max="15632" width="14.85546875" bestFit="1" customWidth="1"/>
    <col min="15873" max="15873" width="28" customWidth="1"/>
    <col min="15874" max="15874" width="0.140625" customWidth="1"/>
    <col min="15875" max="15886" width="14.140625" customWidth="1"/>
    <col min="15887" max="15887" width="1.85546875" customWidth="1"/>
    <col min="15888" max="15888" width="14.85546875" bestFit="1" customWidth="1"/>
    <col min="16129" max="16129" width="28" customWidth="1"/>
    <col min="16130" max="16130" width="0.140625" customWidth="1"/>
    <col min="16131" max="16142" width="14.140625" customWidth="1"/>
    <col min="16143" max="16143" width="1.85546875" customWidth="1"/>
    <col min="16144" max="16144" width="14.85546875" bestFit="1" customWidth="1"/>
  </cols>
  <sheetData>
    <row r="2" spans="1:17" x14ac:dyDescent="0.25">
      <c r="A2" s="402" t="s">
        <v>0</v>
      </c>
      <c r="B2" s="402"/>
      <c r="C2" s="402"/>
      <c r="D2" s="402"/>
      <c r="E2" s="402"/>
      <c r="F2" s="402"/>
      <c r="G2" s="402"/>
      <c r="H2" s="402"/>
      <c r="I2" s="402"/>
      <c r="J2" s="402"/>
      <c r="K2" s="402"/>
      <c r="L2" s="402"/>
      <c r="M2" s="402"/>
      <c r="N2" s="402"/>
      <c r="O2" s="402"/>
      <c r="P2" s="402"/>
    </row>
    <row r="3" spans="1:17" x14ac:dyDescent="0.25">
      <c r="A3" s="59"/>
      <c r="B3" s="59"/>
      <c r="C3" s="59"/>
      <c r="D3" s="59"/>
      <c r="E3" s="59"/>
      <c r="F3" s="59"/>
      <c r="G3" s="59"/>
      <c r="H3" s="59"/>
      <c r="I3" s="59"/>
      <c r="J3" s="59"/>
      <c r="K3" s="59"/>
      <c r="L3" s="59"/>
      <c r="M3" s="59"/>
      <c r="N3" s="59"/>
      <c r="O3" s="59"/>
      <c r="P3" s="59"/>
    </row>
    <row r="4" spans="1:17" x14ac:dyDescent="0.25">
      <c r="A4" s="70"/>
      <c r="C4" s="405" t="s">
        <v>105</v>
      </c>
      <c r="D4" s="405"/>
      <c r="E4" s="405"/>
      <c r="F4" s="405"/>
      <c r="G4" s="405"/>
      <c r="H4" s="405"/>
      <c r="I4" s="405"/>
      <c r="J4" s="405"/>
      <c r="K4" s="405"/>
      <c r="L4" s="405"/>
      <c r="M4" s="405"/>
      <c r="N4" s="405"/>
      <c r="O4" s="405"/>
      <c r="P4" s="405"/>
    </row>
    <row r="5" spans="1:17" x14ac:dyDescent="0.25">
      <c r="C5" s="1">
        <v>1</v>
      </c>
      <c r="D5" s="1">
        <v>2</v>
      </c>
      <c r="E5" s="1">
        <v>3</v>
      </c>
      <c r="F5" s="1">
        <v>4</v>
      </c>
      <c r="G5" s="1">
        <v>5</v>
      </c>
      <c r="H5" s="1">
        <v>6</v>
      </c>
      <c r="I5" s="1">
        <v>7</v>
      </c>
      <c r="J5" s="1">
        <v>8</v>
      </c>
      <c r="K5" s="1">
        <v>9</v>
      </c>
      <c r="L5" s="1">
        <v>10</v>
      </c>
      <c r="M5" s="1">
        <v>11</v>
      </c>
      <c r="N5" s="1">
        <v>12</v>
      </c>
      <c r="O5" s="2"/>
    </row>
    <row r="6" spans="1:17" x14ac:dyDescent="0.25">
      <c r="A6" s="3"/>
      <c r="B6" s="3"/>
      <c r="C6" s="67" t="s">
        <v>3</v>
      </c>
      <c r="D6" s="67" t="s">
        <v>4</v>
      </c>
      <c r="E6" s="67" t="s">
        <v>5</v>
      </c>
      <c r="F6" s="67" t="s">
        <v>6</v>
      </c>
      <c r="G6" s="67" t="s">
        <v>7</v>
      </c>
      <c r="H6" s="67" t="s">
        <v>8</v>
      </c>
      <c r="I6" s="67" t="s">
        <v>9</v>
      </c>
      <c r="J6" s="67" t="s">
        <v>10</v>
      </c>
      <c r="K6" s="67" t="s">
        <v>11</v>
      </c>
      <c r="L6" s="67" t="s">
        <v>12</v>
      </c>
      <c r="M6" s="67" t="s">
        <v>13</v>
      </c>
      <c r="N6" s="67" t="s">
        <v>14</v>
      </c>
      <c r="O6" s="5"/>
      <c r="P6" s="3" t="s">
        <v>15</v>
      </c>
    </row>
    <row r="7" spans="1:17" ht="15.75" thickBot="1" x14ac:dyDescent="0.3">
      <c r="A7" s="68" t="s">
        <v>16</v>
      </c>
      <c r="C7" s="7">
        <v>0</v>
      </c>
      <c r="D7" s="7">
        <v>0</v>
      </c>
      <c r="E7" s="7">
        <v>0</v>
      </c>
      <c r="F7" s="7">
        <v>0</v>
      </c>
      <c r="G7" s="7">
        <v>0</v>
      </c>
      <c r="H7" s="7">
        <v>0</v>
      </c>
      <c r="I7" s="7">
        <v>0</v>
      </c>
      <c r="J7" s="7">
        <v>0</v>
      </c>
      <c r="K7" s="7">
        <v>0</v>
      </c>
      <c r="L7" s="7">
        <v>0</v>
      </c>
      <c r="M7" s="7">
        <v>0</v>
      </c>
      <c r="N7" s="7">
        <v>0</v>
      </c>
      <c r="O7" s="8">
        <v>0</v>
      </c>
      <c r="P7" s="9">
        <f>SUM(C7:O7)</f>
        <v>0</v>
      </c>
    </row>
    <row r="8" spans="1:17" ht="15.75" thickBot="1" x14ac:dyDescent="0.3">
      <c r="A8" s="69" t="s">
        <v>17</v>
      </c>
      <c r="B8" s="3"/>
      <c r="C8" s="10">
        <f t="shared" ref="C8" si="0">C7+B8</f>
        <v>0</v>
      </c>
      <c r="D8" s="10">
        <f t="shared" ref="D8" si="1">D7+C8</f>
        <v>0</v>
      </c>
      <c r="E8" s="10">
        <f t="shared" ref="E8" si="2">E7+D8</f>
        <v>0</v>
      </c>
      <c r="F8" s="10">
        <f t="shared" ref="F8" si="3">F7+E8</f>
        <v>0</v>
      </c>
      <c r="G8" s="10">
        <f t="shared" ref="G8" si="4">G7+F8</f>
        <v>0</v>
      </c>
      <c r="H8" s="10">
        <f t="shared" ref="H8" si="5">H7+G8</f>
        <v>0</v>
      </c>
      <c r="I8" s="10">
        <f t="shared" ref="I8" si="6">I7+H8</f>
        <v>0</v>
      </c>
      <c r="J8" s="10">
        <f t="shared" ref="J8" si="7">J7+I8</f>
        <v>0</v>
      </c>
      <c r="K8" s="10">
        <f t="shared" ref="K8" si="8">K7+J8</f>
        <v>0</v>
      </c>
      <c r="L8" s="10">
        <f t="shared" ref="L8" si="9">L7+K8</f>
        <v>0</v>
      </c>
      <c r="M8" s="10">
        <f t="shared" ref="M8" si="10">M7+L8</f>
        <v>0</v>
      </c>
      <c r="N8" s="10">
        <f t="shared" ref="N8" si="11">N7+M8</f>
        <v>0</v>
      </c>
      <c r="O8" s="11"/>
      <c r="P8" s="12">
        <f>P7</f>
        <v>0</v>
      </c>
    </row>
    <row r="9" spans="1:17" x14ac:dyDescent="0.25">
      <c r="A9" s="6"/>
      <c r="C9" s="7"/>
      <c r="D9" s="7"/>
      <c r="E9" s="7"/>
      <c r="F9" s="7"/>
      <c r="G9" s="7"/>
      <c r="H9" s="7"/>
      <c r="I9" s="7"/>
      <c r="J9" s="7"/>
      <c r="K9" s="7"/>
      <c r="L9" s="7"/>
      <c r="M9" s="7"/>
      <c r="N9" s="7"/>
      <c r="O9" s="8"/>
    </row>
    <row r="10" spans="1:17" x14ac:dyDescent="0.25">
      <c r="A10" s="68" t="s">
        <v>18</v>
      </c>
      <c r="C10" s="13">
        <v>0</v>
      </c>
      <c r="D10" s="13">
        <v>0</v>
      </c>
      <c r="E10" s="13">
        <v>0</v>
      </c>
      <c r="F10" s="13">
        <v>0</v>
      </c>
      <c r="G10" s="13">
        <v>0</v>
      </c>
      <c r="H10" s="13">
        <v>0</v>
      </c>
      <c r="I10" s="13">
        <v>0</v>
      </c>
      <c r="J10" s="13">
        <v>0</v>
      </c>
      <c r="K10" s="13">
        <v>0</v>
      </c>
      <c r="L10" s="13">
        <v>0</v>
      </c>
      <c r="M10" s="13">
        <v>0</v>
      </c>
      <c r="N10" s="13">
        <v>0</v>
      </c>
      <c r="O10" s="8">
        <v>0</v>
      </c>
      <c r="P10" s="9">
        <f>SUM(C10:O10)</f>
        <v>0</v>
      </c>
    </row>
    <row r="11" spans="1:17" x14ac:dyDescent="0.25">
      <c r="A11" s="68" t="s">
        <v>19</v>
      </c>
      <c r="B11">
        <v>502</v>
      </c>
      <c r="C11" s="14">
        <v>0</v>
      </c>
      <c r="D11" s="14"/>
      <c r="E11" s="14"/>
      <c r="F11" s="14"/>
      <c r="G11" s="14"/>
      <c r="H11" s="14"/>
      <c r="I11" s="14"/>
      <c r="J11" s="14"/>
      <c r="K11" s="14"/>
      <c r="L11" s="14"/>
      <c r="M11" s="14"/>
      <c r="N11" s="14"/>
      <c r="O11" s="8"/>
      <c r="P11" s="9">
        <f>SUM(C11:N11)</f>
        <v>0</v>
      </c>
    </row>
    <row r="12" spans="1:17" x14ac:dyDescent="0.25">
      <c r="A12" s="68" t="s">
        <v>20</v>
      </c>
      <c r="B12">
        <v>560</v>
      </c>
      <c r="C12" s="14">
        <v>0</v>
      </c>
      <c r="D12" s="14"/>
      <c r="E12" s="14"/>
      <c r="F12" s="14"/>
      <c r="G12" s="14"/>
      <c r="H12" s="14"/>
      <c r="I12" s="14"/>
      <c r="J12" s="14"/>
      <c r="K12" s="14"/>
      <c r="L12" s="14"/>
      <c r="M12" s="14"/>
      <c r="N12" s="14"/>
      <c r="O12" s="8"/>
      <c r="P12" s="9">
        <f>SUM(C12:N12)</f>
        <v>0</v>
      </c>
    </row>
    <row r="13" spans="1:17" ht="15.75" thickBot="1" x14ac:dyDescent="0.3">
      <c r="A13" s="68" t="s">
        <v>21</v>
      </c>
      <c r="C13" s="7">
        <v>0</v>
      </c>
      <c r="D13" s="7">
        <v>0</v>
      </c>
      <c r="E13" s="7">
        <v>0</v>
      </c>
      <c r="F13" s="7">
        <v>0</v>
      </c>
      <c r="G13" s="7">
        <v>0</v>
      </c>
      <c r="H13" s="7"/>
      <c r="I13" s="7">
        <v>0</v>
      </c>
      <c r="J13" s="7"/>
      <c r="K13" s="7">
        <v>0</v>
      </c>
      <c r="L13" s="7">
        <v>0</v>
      </c>
      <c r="M13" s="7">
        <v>0</v>
      </c>
      <c r="N13" s="7">
        <v>0</v>
      </c>
      <c r="O13" s="8">
        <v>0</v>
      </c>
      <c r="P13" s="15">
        <f>SUM(C13:O13)</f>
        <v>0</v>
      </c>
    </row>
    <row r="14" spans="1:17" ht="15.75" thickBot="1" x14ac:dyDescent="0.3">
      <c r="A14" s="69" t="s">
        <v>22</v>
      </c>
      <c r="B14" s="3"/>
      <c r="C14" s="10">
        <f>C13+C11+C12</f>
        <v>0</v>
      </c>
      <c r="D14" s="10">
        <f>D13+D12+C14+D11</f>
        <v>0</v>
      </c>
      <c r="E14" s="10">
        <f t="shared" ref="E14:F14" si="12">E13+E12+D14+E11</f>
        <v>0</v>
      </c>
      <c r="F14" s="10">
        <f t="shared" si="12"/>
        <v>0</v>
      </c>
      <c r="G14" s="10">
        <f t="shared" ref="G14" si="13">G13+G12+F14+G11</f>
        <v>0</v>
      </c>
      <c r="H14" s="10">
        <f t="shared" ref="H14" si="14">H13+H12+G14+H11</f>
        <v>0</v>
      </c>
      <c r="I14" s="10">
        <f t="shared" ref="I14" si="15">I13+I12+H14+I11</f>
        <v>0</v>
      </c>
      <c r="J14" s="10">
        <f t="shared" ref="J14" si="16">J13+J12+I14+J11</f>
        <v>0</v>
      </c>
      <c r="K14" s="10">
        <f t="shared" ref="K14" si="17">K13+K12+J14+K11</f>
        <v>0</v>
      </c>
      <c r="L14" s="10">
        <f t="shared" ref="L14" si="18">L13+L12+K14+L11</f>
        <v>0</v>
      </c>
      <c r="M14" s="10">
        <f t="shared" ref="M14" si="19">M13+M12+L14+M11</f>
        <v>0</v>
      </c>
      <c r="N14" s="10">
        <f t="shared" ref="N14" si="20">N13+N12+M14+N11</f>
        <v>0</v>
      </c>
      <c r="O14" s="11"/>
      <c r="P14" s="12">
        <f>SUM(P10:P13)</f>
        <v>0</v>
      </c>
      <c r="Q14" s="9"/>
    </row>
    <row r="15" spans="1:17" x14ac:dyDescent="0.25">
      <c r="A15" s="6"/>
      <c r="C15" s="7"/>
      <c r="D15" s="7"/>
      <c r="E15" s="7"/>
      <c r="F15" s="7"/>
      <c r="G15" s="7"/>
      <c r="H15" s="7"/>
      <c r="I15" s="7"/>
      <c r="J15" s="7"/>
      <c r="K15" s="7"/>
      <c r="L15" s="7"/>
      <c r="M15" s="7"/>
      <c r="N15" s="7"/>
      <c r="O15" s="8"/>
      <c r="P15" s="16"/>
    </row>
    <row r="16" spans="1:17" x14ac:dyDescent="0.25">
      <c r="A16" s="68" t="s">
        <v>23</v>
      </c>
      <c r="C16" s="7">
        <v>0</v>
      </c>
      <c r="D16" s="7">
        <f t="shared" ref="D16:N16" si="21">C16</f>
        <v>0</v>
      </c>
      <c r="E16" s="7">
        <f t="shared" si="21"/>
        <v>0</v>
      </c>
      <c r="F16" s="7">
        <f t="shared" si="21"/>
        <v>0</v>
      </c>
      <c r="G16" s="7">
        <f t="shared" si="21"/>
        <v>0</v>
      </c>
      <c r="H16" s="7">
        <f t="shared" si="21"/>
        <v>0</v>
      </c>
      <c r="I16" s="7">
        <f t="shared" si="21"/>
        <v>0</v>
      </c>
      <c r="J16" s="7">
        <f t="shared" si="21"/>
        <v>0</v>
      </c>
      <c r="K16" s="7">
        <f t="shared" si="21"/>
        <v>0</v>
      </c>
      <c r="L16" s="7">
        <f t="shared" si="21"/>
        <v>0</v>
      </c>
      <c r="M16" s="7">
        <f t="shared" si="21"/>
        <v>0</v>
      </c>
      <c r="N16" s="7">
        <f t="shared" si="21"/>
        <v>0</v>
      </c>
      <c r="O16" s="8"/>
      <c r="P16" s="9">
        <f>IF(P8-P14&gt;0,N16,0)</f>
        <v>0</v>
      </c>
    </row>
    <row r="17" spans="1:16" ht="15.75" thickBot="1" x14ac:dyDescent="0.3">
      <c r="A17" s="6"/>
      <c r="C17" s="7"/>
      <c r="D17" s="7"/>
      <c r="E17" s="7"/>
      <c r="F17" s="7"/>
      <c r="G17" s="7"/>
      <c r="H17" s="7"/>
      <c r="I17" s="7"/>
      <c r="J17" s="7"/>
      <c r="K17" s="7"/>
      <c r="L17" s="7"/>
      <c r="M17" s="7"/>
      <c r="N17" s="7"/>
      <c r="O17" s="8"/>
      <c r="P17" s="16"/>
    </row>
    <row r="18" spans="1:16" ht="15.75" thickBot="1" x14ac:dyDescent="0.3">
      <c r="A18" s="69" t="s">
        <v>24</v>
      </c>
      <c r="B18" s="3"/>
      <c r="C18" s="17">
        <f>IF((C8-C14-C16)&gt;0,(C8-C14-C16),0)</f>
        <v>0</v>
      </c>
      <c r="D18" s="17">
        <f>IF((D8-D14-D16)&gt;0,(D8-D14-D16),0)</f>
        <v>0</v>
      </c>
      <c r="E18" s="17">
        <f t="shared" ref="E18:N18" si="22">IF((E8-E14-E16)&gt;0,(E8-E14-E16),0)</f>
        <v>0</v>
      </c>
      <c r="F18" s="17">
        <f t="shared" si="22"/>
        <v>0</v>
      </c>
      <c r="G18" s="17">
        <f t="shared" si="22"/>
        <v>0</v>
      </c>
      <c r="H18" s="17">
        <f>IF((H8-H14-H16)&gt;0,(H8-H14-H16),0)</f>
        <v>0</v>
      </c>
      <c r="I18" s="17">
        <f t="shared" si="22"/>
        <v>0</v>
      </c>
      <c r="J18" s="17">
        <f t="shared" si="22"/>
        <v>0</v>
      </c>
      <c r="K18" s="17">
        <f t="shared" si="22"/>
        <v>0</v>
      </c>
      <c r="L18" s="17">
        <f t="shared" si="22"/>
        <v>0</v>
      </c>
      <c r="M18" s="17">
        <f t="shared" si="22"/>
        <v>0</v>
      </c>
      <c r="N18" s="17">
        <f t="shared" si="22"/>
        <v>0</v>
      </c>
      <c r="O18" s="11"/>
      <c r="P18" s="18">
        <f>IF((P8-P14-P16)&gt;0,P8-P14-P16,0)</f>
        <v>0</v>
      </c>
    </row>
    <row r="19" spans="1:16" x14ac:dyDescent="0.25">
      <c r="A19" s="6"/>
      <c r="C19" s="7"/>
      <c r="D19" s="7"/>
      <c r="E19" s="7"/>
      <c r="F19" s="7"/>
      <c r="G19" s="7"/>
      <c r="H19" s="7"/>
      <c r="I19" s="7"/>
      <c r="J19" s="7"/>
      <c r="K19" s="7"/>
      <c r="L19" s="7"/>
      <c r="M19" s="7"/>
      <c r="N19" s="7"/>
      <c r="O19" s="8"/>
      <c r="P19" s="15"/>
    </row>
    <row r="20" spans="1:16" x14ac:dyDescent="0.25">
      <c r="A20" s="68" t="s">
        <v>25</v>
      </c>
      <c r="C20" s="19">
        <f>IF(C18&gt;0,VLOOKUP(C18,'Tablas de ISR'!A5:B15,1,1),0)</f>
        <v>0</v>
      </c>
      <c r="D20" s="19">
        <f>IF(D18&gt;0,VLOOKUP(D18,'Tablas de ISR'!F5:G15,1,1),0)</f>
        <v>0</v>
      </c>
      <c r="E20" s="19">
        <f>IF(E18&gt;0,VLOOKUP(E18,'Tablas de ISR'!A21:B31,1,1),0)</f>
        <v>0</v>
      </c>
      <c r="F20" s="19">
        <f>IF(F18&gt;0,VLOOKUP(F18,'Tablas de ISR'!F21:G32,1,1),0)</f>
        <v>0</v>
      </c>
      <c r="G20" s="19">
        <f>IF(G18&gt;0,VLOOKUP(G18,'Tablas de ISR'!A37:B47,1,1),0)</f>
        <v>0</v>
      </c>
      <c r="H20" s="19">
        <f>IF(H18&gt;0,VLOOKUP(H18,'Tablas de ISR'!F37:G48,1,1),0)</f>
        <v>0</v>
      </c>
      <c r="I20" s="19">
        <f>IF(I18&gt;0,VLOOKUP(I18,'Tablas de ISR'!A53:B63,1,1),0)</f>
        <v>0</v>
      </c>
      <c r="J20" s="19">
        <f>IF(J18&gt;0,VLOOKUP(J18,'Tablas de ISR'!F53:G63,1,1),0)</f>
        <v>0</v>
      </c>
      <c r="K20" s="19">
        <f>IF(K18&gt;0,VLOOKUP(K18,'Tablas de ISR'!A69:B79,1,1),0)</f>
        <v>0</v>
      </c>
      <c r="L20" s="19">
        <f>IF(L18&gt;0,VLOOKUP(L18,'Tablas de ISR'!F69:G80,1,1),0)</f>
        <v>0</v>
      </c>
      <c r="M20" s="19">
        <f>IF(M18&gt;0,VLOOKUP(M18,'Tablas de ISR'!A85:B96,1,1),0)</f>
        <v>0</v>
      </c>
      <c r="N20" s="19">
        <f>IF(N18&gt;0,VLOOKUP(N18,'Tablas de ISR'!F85:G95,1,1),0)</f>
        <v>0</v>
      </c>
      <c r="O20" s="20"/>
      <c r="P20" s="19">
        <f>IF(P18&gt;0,VLOOKUP(P18,'Tablas de ISR'!A101:B111,1,1),0)</f>
        <v>0</v>
      </c>
    </row>
    <row r="21" spans="1:16" x14ac:dyDescent="0.25">
      <c r="A21" s="6"/>
      <c r="C21" s="7"/>
      <c r="D21" s="7"/>
      <c r="E21" s="7"/>
      <c r="F21" s="7"/>
      <c r="G21" s="7"/>
      <c r="H21" s="7"/>
      <c r="I21" s="7"/>
      <c r="J21" s="7"/>
      <c r="K21" s="7"/>
      <c r="L21" s="7"/>
      <c r="M21" s="7"/>
      <c r="N21" s="7"/>
      <c r="O21" s="8"/>
      <c r="P21" s="15"/>
    </row>
    <row r="22" spans="1:16" ht="15.75" thickBot="1" x14ac:dyDescent="0.3">
      <c r="A22" s="6" t="s">
        <v>26</v>
      </c>
      <c r="C22" s="21">
        <f t="shared" ref="C22:N22" si="23">C18-C20</f>
        <v>0</v>
      </c>
      <c r="D22" s="21">
        <f t="shared" si="23"/>
        <v>0</v>
      </c>
      <c r="E22" s="21">
        <f t="shared" si="23"/>
        <v>0</v>
      </c>
      <c r="F22" s="21">
        <f t="shared" si="23"/>
        <v>0</v>
      </c>
      <c r="G22" s="21">
        <f t="shared" si="23"/>
        <v>0</v>
      </c>
      <c r="H22" s="21">
        <f t="shared" si="23"/>
        <v>0</v>
      </c>
      <c r="I22" s="21">
        <f t="shared" si="23"/>
        <v>0</v>
      </c>
      <c r="J22" s="21">
        <f t="shared" si="23"/>
        <v>0</v>
      </c>
      <c r="K22" s="21">
        <f t="shared" si="23"/>
        <v>0</v>
      </c>
      <c r="L22" s="21">
        <f t="shared" si="23"/>
        <v>0</v>
      </c>
      <c r="M22" s="21">
        <f t="shared" si="23"/>
        <v>0</v>
      </c>
      <c r="N22" s="21">
        <f t="shared" si="23"/>
        <v>0</v>
      </c>
      <c r="O22" s="8"/>
      <c r="P22" s="22">
        <f>P18-P20</f>
        <v>0</v>
      </c>
    </row>
    <row r="23" spans="1:16" ht="15.75" thickTop="1" x14ac:dyDescent="0.25">
      <c r="A23" s="6"/>
      <c r="C23" s="7"/>
      <c r="D23" s="7"/>
      <c r="E23" s="7"/>
      <c r="F23" s="7"/>
      <c r="G23" s="7"/>
      <c r="H23" s="7"/>
      <c r="I23" s="7"/>
      <c r="J23" s="7"/>
      <c r="K23" s="7"/>
      <c r="L23" s="7"/>
      <c r="M23" s="7"/>
      <c r="N23" s="7"/>
      <c r="O23" s="8"/>
      <c r="P23" s="15"/>
    </row>
    <row r="24" spans="1:16" x14ac:dyDescent="0.25">
      <c r="A24" s="68" t="s">
        <v>27</v>
      </c>
      <c r="C24" s="23">
        <f>IF(C18&gt;0,VLOOKUP(C28,'Tablas de ISR'!C5:D15,2,0),0)</f>
        <v>0</v>
      </c>
      <c r="D24" s="23">
        <f>IF(D18&gt;0,VLOOKUP(D28,'[1]Tablas de ISR'!H5:I15,2,0),0)</f>
        <v>0</v>
      </c>
      <c r="E24" s="23">
        <f>IF(E18&gt;0,VLOOKUP(E28,'[1]Tablas de ISR'!C21:D31,2,0),0)</f>
        <v>0</v>
      </c>
      <c r="F24" s="23">
        <f>IF(F18&gt;0,VLOOKUP(F28,'[1]Tablas de ISR'!H21:I32,2,0),0)</f>
        <v>0</v>
      </c>
      <c r="G24" s="23">
        <f>IF(G18&gt;0,VLOOKUP(G28,'[1]Tablas de ISR'!C37:D47,2,0),0)</f>
        <v>0</v>
      </c>
      <c r="H24" s="23">
        <f>IF(H18&gt;0,VLOOKUP(H28,'[1]Tablas de ISR'!H37:I48,2,0),0)</f>
        <v>0</v>
      </c>
      <c r="I24" s="23">
        <f>IF(I18&gt;0,VLOOKUP(I28,'[1]Tablas de ISR'!C53:D63,2,0),0)</f>
        <v>0</v>
      </c>
      <c r="J24" s="23">
        <f>IF(J18&gt;0,VLOOKUP(J28,'[1]Tablas de ISR'!H53:I63,2,0),0)</f>
        <v>0</v>
      </c>
      <c r="K24" s="23">
        <f>IF(K18&gt;0,VLOOKUP(K28,'[1]Tablas de ISR'!C69:D79,2,0),0)</f>
        <v>0</v>
      </c>
      <c r="L24" s="23">
        <f>IF(L18&gt;0,VLOOKUP(L28,'[1]Tablas de ISR'!H69:I80,2,0),0)</f>
        <v>0</v>
      </c>
      <c r="M24" s="23">
        <f>IF(M18&gt;0,VLOOKUP(M28,'[1]Tablas de ISR'!C85:D96,2,0),0)</f>
        <v>0</v>
      </c>
      <c r="N24" s="23">
        <f>IF(N18&gt;0,VLOOKUP(N28,'[1]Tablas de ISR'!H85:I95,2,0),0)</f>
        <v>0</v>
      </c>
      <c r="O24" s="24"/>
      <c r="P24" s="23">
        <f>IF(P18&gt;0,VLOOKUP(P28,'[1]Tablas de ISR'!C100:D111,2,0),0)</f>
        <v>0</v>
      </c>
    </row>
    <row r="25" spans="1:16" x14ac:dyDescent="0.25">
      <c r="A25" s="6"/>
      <c r="C25" s="7"/>
      <c r="D25" s="7"/>
      <c r="E25" s="7"/>
      <c r="F25" s="7"/>
      <c r="G25" s="7"/>
      <c r="H25" s="7"/>
      <c r="I25" s="7"/>
      <c r="J25" s="7"/>
      <c r="K25" s="7"/>
      <c r="L25" s="7"/>
      <c r="M25" s="7"/>
      <c r="N25" s="7"/>
      <c r="O25" s="8"/>
      <c r="P25" s="15"/>
    </row>
    <row r="26" spans="1:16" ht="15.75" thickBot="1" x14ac:dyDescent="0.3">
      <c r="A26" s="68" t="s">
        <v>28</v>
      </c>
      <c r="C26" s="21">
        <f t="shared" ref="C26:N26" si="24">C22*C24</f>
        <v>0</v>
      </c>
      <c r="D26" s="21">
        <f t="shared" si="24"/>
        <v>0</v>
      </c>
      <c r="E26" s="21">
        <f t="shared" si="24"/>
        <v>0</v>
      </c>
      <c r="F26" s="21">
        <f t="shared" si="24"/>
        <v>0</v>
      </c>
      <c r="G26" s="21">
        <f t="shared" si="24"/>
        <v>0</v>
      </c>
      <c r="H26" s="21">
        <f t="shared" si="24"/>
        <v>0</v>
      </c>
      <c r="I26" s="21">
        <f t="shared" si="24"/>
        <v>0</v>
      </c>
      <c r="J26" s="21">
        <f t="shared" si="24"/>
        <v>0</v>
      </c>
      <c r="K26" s="21">
        <f t="shared" si="24"/>
        <v>0</v>
      </c>
      <c r="L26" s="21">
        <f t="shared" si="24"/>
        <v>0</v>
      </c>
      <c r="M26" s="21">
        <f t="shared" si="24"/>
        <v>0</v>
      </c>
      <c r="N26" s="21">
        <f t="shared" si="24"/>
        <v>0</v>
      </c>
      <c r="O26" s="8"/>
      <c r="P26" s="22">
        <f>P22*P24</f>
        <v>0</v>
      </c>
    </row>
    <row r="27" spans="1:16" ht="15.75" thickTop="1" x14ac:dyDescent="0.25">
      <c r="A27" s="6"/>
      <c r="C27" s="7"/>
      <c r="D27" s="7"/>
      <c r="E27" s="7"/>
      <c r="F27" s="7"/>
      <c r="G27" s="7"/>
      <c r="H27" s="7"/>
      <c r="I27" s="7"/>
      <c r="J27" s="7"/>
      <c r="K27" s="7"/>
      <c r="L27" s="7"/>
      <c r="M27" s="7"/>
      <c r="N27" s="7"/>
      <c r="O27" s="8"/>
      <c r="P27" s="15"/>
    </row>
    <row r="28" spans="1:16" x14ac:dyDescent="0.25">
      <c r="A28" s="68" t="s">
        <v>29</v>
      </c>
      <c r="C28" s="19">
        <f>IF(C18&gt;0,VLOOKUP(C18,'Tablas de ISR'!A5:C15,3,1),0)</f>
        <v>0</v>
      </c>
      <c r="D28" s="19">
        <f>IF(D18&gt;0,VLOOKUP(D18,'Tablas de ISR'!F5:H15,3,1),0)</f>
        <v>0</v>
      </c>
      <c r="E28" s="19">
        <f>IF(E18&gt;0,VLOOKUP(E18,'Tablas de ISR'!A21:C31,3,1),0)</f>
        <v>0</v>
      </c>
      <c r="F28" s="19">
        <f>IF(F18&gt;0,VLOOKUP(F18,'Tablas de ISR'!F21:H32,3,1),0)</f>
        <v>0</v>
      </c>
      <c r="G28" s="19">
        <f>IF(G18&gt;0,VLOOKUP(G18,'Tablas de ISR'!A37:C47,3,1),0)</f>
        <v>0</v>
      </c>
      <c r="H28" s="19">
        <f>IF(H18&gt;0,VLOOKUP(H18,'Tablas de ISR'!F37:H48,3,1),0)</f>
        <v>0</v>
      </c>
      <c r="I28" s="19">
        <f>IF(I18&gt;0,VLOOKUP(I18,'Tablas de ISR'!A53:C63,3,1),0)</f>
        <v>0</v>
      </c>
      <c r="J28" s="19">
        <f>IF(J18&gt;0,VLOOKUP(J18,'Tablas de ISR'!F53:H63,3,1),0)</f>
        <v>0</v>
      </c>
      <c r="K28" s="19">
        <f>IF(K18&gt;0,VLOOKUP(K18,'Tablas de ISR'!A69:C79,3,1),0)</f>
        <v>0</v>
      </c>
      <c r="L28" s="19">
        <f>IF(L18&gt;0,VLOOKUP(L18,'Tablas de ISR'!F69:H80,3,1),0)</f>
        <v>0</v>
      </c>
      <c r="M28" s="19">
        <f>IF(M18&gt;0,VLOOKUP(M18,'Tablas de ISR'!A85:C96,3,1),0)</f>
        <v>0</v>
      </c>
      <c r="N28" s="19">
        <f>IF(N18&gt;0,VLOOKUP(N18,'Tablas de ISR'!F85:H95,3,1),0)</f>
        <v>0</v>
      </c>
      <c r="O28" s="20"/>
      <c r="P28" s="19">
        <f>IF(P18&gt;0,VLOOKUP(P18,'Tablas de ISR'!A100:C111,3,1),0)</f>
        <v>0</v>
      </c>
    </row>
    <row r="29" spans="1:16" x14ac:dyDescent="0.25">
      <c r="A29" s="6"/>
      <c r="C29" s="7"/>
      <c r="D29" s="7"/>
      <c r="E29" s="7"/>
      <c r="F29" s="7"/>
      <c r="G29" s="7"/>
      <c r="H29" s="7"/>
      <c r="I29" s="7"/>
      <c r="J29" s="7"/>
      <c r="K29" s="7"/>
      <c r="L29" s="7"/>
      <c r="M29" s="7"/>
      <c r="N29" s="7"/>
      <c r="O29" s="8"/>
      <c r="P29" s="15"/>
    </row>
    <row r="30" spans="1:16" ht="15.75" thickBot="1" x14ac:dyDescent="0.3">
      <c r="A30" s="68" t="s">
        <v>30</v>
      </c>
      <c r="C30" s="21">
        <f t="shared" ref="C30:N30" si="25">C26+C28</f>
        <v>0</v>
      </c>
      <c r="D30" s="21">
        <f>D26+D28</f>
        <v>0</v>
      </c>
      <c r="E30" s="21">
        <f t="shared" si="25"/>
        <v>0</v>
      </c>
      <c r="F30" s="21">
        <f t="shared" si="25"/>
        <v>0</v>
      </c>
      <c r="G30" s="21">
        <f t="shared" si="25"/>
        <v>0</v>
      </c>
      <c r="H30" s="21">
        <f t="shared" si="25"/>
        <v>0</v>
      </c>
      <c r="I30" s="21">
        <f t="shared" si="25"/>
        <v>0</v>
      </c>
      <c r="J30" s="21">
        <f t="shared" si="25"/>
        <v>0</v>
      </c>
      <c r="K30" s="21">
        <f t="shared" si="25"/>
        <v>0</v>
      </c>
      <c r="L30" s="21">
        <f t="shared" si="25"/>
        <v>0</v>
      </c>
      <c r="M30" s="21">
        <f t="shared" si="25"/>
        <v>0</v>
      </c>
      <c r="N30" s="21">
        <f t="shared" si="25"/>
        <v>0</v>
      </c>
      <c r="O30" s="8"/>
      <c r="P30" s="22">
        <f>P26+P28</f>
        <v>0</v>
      </c>
    </row>
    <row r="31" spans="1:16" ht="15.75" thickTop="1" x14ac:dyDescent="0.25">
      <c r="A31" s="6"/>
      <c r="C31" s="7"/>
      <c r="D31" s="7"/>
      <c r="E31" s="7"/>
      <c r="F31" s="7"/>
      <c r="G31" s="7"/>
      <c r="H31" s="7"/>
      <c r="I31" s="7"/>
      <c r="J31" s="7"/>
      <c r="K31" s="7"/>
      <c r="L31" s="7"/>
      <c r="M31" s="7"/>
      <c r="N31" s="7"/>
      <c r="O31" s="8"/>
      <c r="P31" s="15"/>
    </row>
    <row r="32" spans="1:16" x14ac:dyDescent="0.25">
      <c r="A32" s="68" t="s">
        <v>31</v>
      </c>
      <c r="C32" s="7">
        <v>0</v>
      </c>
      <c r="D32" s="7">
        <f t="shared" ref="D32:M32" si="26">IF(C36&gt;0,C32+C33+C35+C36,C32+C33+C35)</f>
        <v>0</v>
      </c>
      <c r="E32" s="7">
        <f>IF(D36&gt;0,D32+D33+D35+D36,D32+D33+D35)</f>
        <v>0</v>
      </c>
      <c r="F32" s="7">
        <f t="shared" si="26"/>
        <v>0</v>
      </c>
      <c r="G32" s="7">
        <f t="shared" si="26"/>
        <v>0</v>
      </c>
      <c r="H32" s="7">
        <f t="shared" si="26"/>
        <v>0</v>
      </c>
      <c r="I32" s="7">
        <f t="shared" si="26"/>
        <v>0</v>
      </c>
      <c r="J32" s="7">
        <f t="shared" si="26"/>
        <v>0</v>
      </c>
      <c r="K32" s="7">
        <f t="shared" si="26"/>
        <v>0</v>
      </c>
      <c r="L32" s="7">
        <f t="shared" si="26"/>
        <v>0</v>
      </c>
      <c r="M32" s="7">
        <f t="shared" si="26"/>
        <v>0</v>
      </c>
      <c r="N32" s="7">
        <f>IF(M36&gt;0,M32+M33+M35+M36,M32+M33+M35)</f>
        <v>0</v>
      </c>
      <c r="O32" s="8"/>
      <c r="P32" s="15">
        <f>IF(N36&gt;0,N32+N33+N35+N36,N32+N33+N35)</f>
        <v>0</v>
      </c>
    </row>
    <row r="33" spans="1:16" x14ac:dyDescent="0.25">
      <c r="A33" s="68" t="s">
        <v>32</v>
      </c>
      <c r="C33" s="7">
        <v>0</v>
      </c>
      <c r="D33" s="7">
        <v>0</v>
      </c>
      <c r="E33" s="7">
        <v>0</v>
      </c>
      <c r="F33" s="7">
        <v>0</v>
      </c>
      <c r="G33" s="7">
        <v>0</v>
      </c>
      <c r="H33" s="7">
        <v>0</v>
      </c>
      <c r="I33" s="7">
        <v>0</v>
      </c>
      <c r="J33" s="7">
        <v>0</v>
      </c>
      <c r="K33" s="7">
        <v>0</v>
      </c>
      <c r="L33" s="7">
        <v>0</v>
      </c>
      <c r="M33" s="7">
        <v>0</v>
      </c>
      <c r="N33" s="7">
        <v>0</v>
      </c>
      <c r="O33" s="8"/>
      <c r="P33" s="15">
        <v>0</v>
      </c>
    </row>
    <row r="34" spans="1:16" x14ac:dyDescent="0.25">
      <c r="A34" s="68" t="s">
        <v>33</v>
      </c>
      <c r="C34" s="7">
        <v>0</v>
      </c>
      <c r="D34" s="7">
        <f t="shared" ref="D34:N34" si="27">C34+0</f>
        <v>0</v>
      </c>
      <c r="E34" s="7">
        <f t="shared" si="27"/>
        <v>0</v>
      </c>
      <c r="F34" s="7">
        <f t="shared" si="27"/>
        <v>0</v>
      </c>
      <c r="G34" s="7">
        <f t="shared" si="27"/>
        <v>0</v>
      </c>
      <c r="H34" s="7">
        <f t="shared" si="27"/>
        <v>0</v>
      </c>
      <c r="I34" s="7">
        <f t="shared" si="27"/>
        <v>0</v>
      </c>
      <c r="J34" s="7">
        <f t="shared" si="27"/>
        <v>0</v>
      </c>
      <c r="K34" s="7">
        <f t="shared" si="27"/>
        <v>0</v>
      </c>
      <c r="L34" s="7">
        <f t="shared" si="27"/>
        <v>0</v>
      </c>
      <c r="M34" s="7">
        <f t="shared" si="27"/>
        <v>0</v>
      </c>
      <c r="N34" s="7">
        <f t="shared" si="27"/>
        <v>0</v>
      </c>
      <c r="O34" s="8"/>
      <c r="P34" s="15">
        <f>N34</f>
        <v>0</v>
      </c>
    </row>
    <row r="35" spans="1:16" ht="15.75" thickBot="1" x14ac:dyDescent="0.3">
      <c r="A35" s="6"/>
      <c r="B35" s="3"/>
      <c r="C35" s="7"/>
      <c r="D35" s="7"/>
      <c r="E35" s="7"/>
      <c r="F35" s="7"/>
      <c r="G35" s="7"/>
      <c r="H35" s="7"/>
      <c r="I35" s="7"/>
      <c r="J35" s="7"/>
      <c r="K35" s="7"/>
      <c r="L35" s="7"/>
      <c r="M35" s="7"/>
      <c r="N35" s="7"/>
      <c r="O35" s="8"/>
      <c r="P35" s="15"/>
    </row>
    <row r="36" spans="1:16" ht="15.75" thickBot="1" x14ac:dyDescent="0.3">
      <c r="A36" s="69" t="s">
        <v>34</v>
      </c>
      <c r="B36" s="3">
        <v>1</v>
      </c>
      <c r="C36" s="25">
        <f t="shared" ref="C36:N36" si="28">IF((C30-C32-C33-C34)&gt;0,C30-C32-C33-C34,0)</f>
        <v>0</v>
      </c>
      <c r="D36" s="25">
        <f>IF((D30-D32-D33-D34)&gt;0,D30-D32-D33-D34,0)</f>
        <v>0</v>
      </c>
      <c r="E36" s="25">
        <f t="shared" si="28"/>
        <v>0</v>
      </c>
      <c r="F36" s="25">
        <f t="shared" si="28"/>
        <v>0</v>
      </c>
      <c r="G36" s="25">
        <f t="shared" si="28"/>
        <v>0</v>
      </c>
      <c r="H36" s="25">
        <f t="shared" si="28"/>
        <v>0</v>
      </c>
      <c r="I36" s="25">
        <f t="shared" si="28"/>
        <v>0</v>
      </c>
      <c r="J36" s="25">
        <f t="shared" si="28"/>
        <v>0</v>
      </c>
      <c r="K36" s="25">
        <f t="shared" si="28"/>
        <v>0</v>
      </c>
      <c r="L36" s="25">
        <f t="shared" si="28"/>
        <v>0</v>
      </c>
      <c r="M36" s="26">
        <f t="shared" si="28"/>
        <v>0</v>
      </c>
      <c r="N36" s="25">
        <f t="shared" si="28"/>
        <v>0</v>
      </c>
      <c r="O36" s="11"/>
      <c r="P36" s="18">
        <f>IF((P30-P32-P33-P34)&gt;0,P30-P32-P33-P34,0)</f>
        <v>0</v>
      </c>
    </row>
    <row r="37" spans="1:16" hidden="1" x14ac:dyDescent="0.25">
      <c r="B37" s="3">
        <v>2</v>
      </c>
      <c r="C37" s="9"/>
      <c r="D37" s="9"/>
      <c r="E37" s="9"/>
      <c r="F37" s="9"/>
      <c r="G37" s="9"/>
      <c r="H37" s="9"/>
      <c r="I37" s="9"/>
      <c r="J37" s="9"/>
      <c r="K37" s="9"/>
      <c r="L37" s="9"/>
      <c r="M37" s="9"/>
      <c r="N37" s="9"/>
      <c r="O37" s="2"/>
    </row>
    <row r="38" spans="1:16" hidden="1" x14ac:dyDescent="0.25">
      <c r="B38" s="3">
        <v>3</v>
      </c>
      <c r="C38" s="27"/>
      <c r="D38" s="27"/>
      <c r="E38" s="27"/>
      <c r="F38" s="27"/>
      <c r="G38" s="27"/>
      <c r="H38" s="27"/>
      <c r="I38" s="27"/>
      <c r="J38" s="27"/>
      <c r="K38" s="27"/>
      <c r="L38" s="27"/>
      <c r="M38" s="27"/>
      <c r="N38" s="27"/>
      <c r="O38" s="2"/>
    </row>
    <row r="39" spans="1:16" hidden="1" x14ac:dyDescent="0.25">
      <c r="B39" s="3">
        <v>4</v>
      </c>
    </row>
    <row r="40" spans="1:16" hidden="1" x14ac:dyDescent="0.25">
      <c r="C40" s="28" t="s">
        <v>3</v>
      </c>
      <c r="D40" s="28" t="s">
        <v>4</v>
      </c>
      <c r="E40" s="28" t="s">
        <v>5</v>
      </c>
      <c r="F40" s="28" t="s">
        <v>6</v>
      </c>
      <c r="G40" s="28" t="s">
        <v>7</v>
      </c>
      <c r="H40" s="28" t="s">
        <v>8</v>
      </c>
      <c r="I40" s="28" t="s">
        <v>9</v>
      </c>
      <c r="J40" s="28" t="s">
        <v>10</v>
      </c>
      <c r="K40" s="28" t="s">
        <v>11</v>
      </c>
      <c r="L40" s="28" t="s">
        <v>12</v>
      </c>
      <c r="M40" s="28" t="s">
        <v>13</v>
      </c>
      <c r="N40" s="28" t="s">
        <v>14</v>
      </c>
    </row>
    <row r="41" spans="1:16" x14ac:dyDescent="0.25">
      <c r="B41" s="3"/>
    </row>
    <row r="42" spans="1:16" x14ac:dyDescent="0.25">
      <c r="B42" s="3"/>
      <c r="C42" s="9"/>
      <c r="D42" s="9"/>
      <c r="E42" s="9"/>
      <c r="F42" s="9"/>
      <c r="G42" s="9"/>
      <c r="H42" s="9"/>
      <c r="I42" s="9"/>
      <c r="J42" s="9"/>
      <c r="K42" s="9"/>
      <c r="L42" s="9"/>
      <c r="M42" s="9"/>
      <c r="N42" s="9"/>
    </row>
    <row r="43" spans="1:16" x14ac:dyDescent="0.25">
      <c r="B43" s="3"/>
    </row>
    <row r="57" spans="4:11" x14ac:dyDescent="0.25">
      <c r="F57">
        <v>1</v>
      </c>
      <c r="G57">
        <v>2</v>
      </c>
      <c r="H57">
        <v>3</v>
      </c>
      <c r="I57">
        <v>4</v>
      </c>
      <c r="J57">
        <v>5</v>
      </c>
      <c r="K57">
        <v>6</v>
      </c>
    </row>
    <row r="58" spans="4:11" x14ac:dyDescent="0.25">
      <c r="D58" s="406" t="s">
        <v>110</v>
      </c>
      <c r="E58" t="s">
        <v>80</v>
      </c>
      <c r="F58">
        <v>758</v>
      </c>
      <c r="G58">
        <v>165.78</v>
      </c>
      <c r="H58">
        <v>711.07</v>
      </c>
      <c r="I58">
        <v>358.49</v>
      </c>
      <c r="J58">
        <v>356.4</v>
      </c>
      <c r="K58">
        <f>SUM(F58:J58)</f>
        <v>2349.7399999999998</v>
      </c>
    </row>
    <row r="59" spans="4:11" x14ac:dyDescent="0.25">
      <c r="D59" s="406"/>
      <c r="E59" t="s">
        <v>108</v>
      </c>
      <c r="F59">
        <v>15.16</v>
      </c>
      <c r="G59">
        <v>3.31</v>
      </c>
      <c r="H59">
        <v>14.22</v>
      </c>
      <c r="I59">
        <v>7.16</v>
      </c>
      <c r="J59">
        <v>7.12</v>
      </c>
      <c r="K59">
        <f>SUM(F59:J59)</f>
        <v>46.969999999999992</v>
      </c>
    </row>
    <row r="60" spans="4:11" x14ac:dyDescent="0.25">
      <c r="D60" s="406"/>
      <c r="E60" t="s">
        <v>109</v>
      </c>
      <c r="F60">
        <v>60.65</v>
      </c>
      <c r="G60">
        <v>13.26</v>
      </c>
      <c r="H60">
        <v>56.88</v>
      </c>
      <c r="I60">
        <v>28.68</v>
      </c>
      <c r="J60">
        <v>28.51</v>
      </c>
      <c r="K60">
        <f>SUM(F60:J60)</f>
        <v>187.98</v>
      </c>
    </row>
    <row r="63" spans="4:11" x14ac:dyDescent="0.25">
      <c r="D63" s="407" t="s">
        <v>111</v>
      </c>
      <c r="E63" t="s">
        <v>80</v>
      </c>
    </row>
    <row r="64" spans="4:11" x14ac:dyDescent="0.25">
      <c r="D64" s="407"/>
      <c r="E64" t="s">
        <v>108</v>
      </c>
    </row>
    <row r="65" spans="4:5" x14ac:dyDescent="0.25">
      <c r="D65" s="407"/>
      <c r="E65" t="s">
        <v>109</v>
      </c>
    </row>
  </sheetData>
  <mergeCells count="4">
    <mergeCell ref="A2:P2"/>
    <mergeCell ref="C4:P4"/>
    <mergeCell ref="D58:D60"/>
    <mergeCell ref="D63:D6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5"/>
  <sheetViews>
    <sheetView topLeftCell="F1" zoomScaleNormal="100" workbookViewId="0">
      <pane ySplit="1" topLeftCell="A6" activePane="bottomLeft" state="frozen"/>
      <selection activeCell="B1" sqref="B1"/>
      <selection pane="bottomLeft" activeCell="AG1" sqref="AG1"/>
    </sheetView>
  </sheetViews>
  <sheetFormatPr baseColWidth="10" defaultRowHeight="15" x14ac:dyDescent="0.25"/>
  <cols>
    <col min="1" max="1" width="13.5703125" hidden="1" customWidth="1"/>
    <col min="2" max="2" width="31.140625" bestFit="1" customWidth="1"/>
    <col min="3" max="3" width="31.7109375" bestFit="1" customWidth="1"/>
    <col min="4" max="4" width="30" bestFit="1" customWidth="1"/>
    <col min="5" max="5" width="94.140625" bestFit="1" customWidth="1"/>
    <col min="7" max="7" width="0" hidden="1" customWidth="1"/>
    <col min="8" max="8" width="18.5703125" bestFit="1" customWidth="1"/>
    <col min="9" max="9" width="33.42578125" bestFit="1" customWidth="1"/>
    <col min="10" max="10" width="12.42578125" bestFit="1" customWidth="1"/>
    <col min="11" max="11" width="0" hidden="1" customWidth="1"/>
    <col min="12" max="12" width="11.5703125" customWidth="1"/>
    <col min="13" max="13" width="16.140625" hidden="1" customWidth="1"/>
    <col min="14" max="15" width="0" hidden="1" customWidth="1"/>
    <col min="17" max="32" width="0" hidden="1" customWidth="1"/>
  </cols>
  <sheetData>
    <row r="1" spans="1:28" x14ac:dyDescent="0.25">
      <c r="A1" s="3" t="s">
        <v>154</v>
      </c>
      <c r="B1" s="100" t="s">
        <v>140</v>
      </c>
      <c r="C1" s="100" t="s">
        <v>141</v>
      </c>
      <c r="D1" s="100" t="s">
        <v>142</v>
      </c>
      <c r="E1" s="100" t="s">
        <v>143</v>
      </c>
      <c r="F1" s="100" t="s">
        <v>144</v>
      </c>
      <c r="G1" s="100" t="s">
        <v>145</v>
      </c>
      <c r="H1" s="100" t="s">
        <v>146</v>
      </c>
      <c r="I1" s="100" t="s">
        <v>147</v>
      </c>
      <c r="J1" s="100" t="s">
        <v>148</v>
      </c>
      <c r="K1" s="100" t="s">
        <v>155</v>
      </c>
      <c r="L1" s="100" t="s">
        <v>156</v>
      </c>
      <c r="M1" s="100" t="s">
        <v>157</v>
      </c>
      <c r="N1" s="100" t="s">
        <v>158</v>
      </c>
      <c r="O1" s="100" t="s">
        <v>157</v>
      </c>
      <c r="P1" s="100" t="s">
        <v>149</v>
      </c>
      <c r="Q1" s="3" t="s">
        <v>159</v>
      </c>
      <c r="R1" s="3" t="s">
        <v>160</v>
      </c>
      <c r="S1" s="3" t="s">
        <v>161</v>
      </c>
      <c r="T1" s="3" t="s">
        <v>162</v>
      </c>
      <c r="U1" s="3" t="s">
        <v>163</v>
      </c>
      <c r="V1" s="3" t="s">
        <v>164</v>
      </c>
      <c r="W1" s="3" t="s">
        <v>165</v>
      </c>
      <c r="X1" s="3" t="s">
        <v>166</v>
      </c>
      <c r="Y1" s="3" t="s">
        <v>167</v>
      </c>
      <c r="Z1" s="3" t="s">
        <v>168</v>
      </c>
      <c r="AA1" s="3" t="s">
        <v>169</v>
      </c>
      <c r="AB1" s="3" t="s">
        <v>170</v>
      </c>
    </row>
    <row r="2" spans="1:28" s="95" customFormat="1" x14ac:dyDescent="0.25">
      <c r="A2" s="3"/>
      <c r="B2" s="97" t="s">
        <v>8</v>
      </c>
      <c r="C2" s="97" t="s">
        <v>8</v>
      </c>
      <c r="D2" s="97" t="s">
        <v>8</v>
      </c>
      <c r="E2" s="97" t="s">
        <v>8</v>
      </c>
      <c r="F2" s="97" t="s">
        <v>8</v>
      </c>
      <c r="G2" s="97" t="s">
        <v>8</v>
      </c>
      <c r="H2" s="97" t="s">
        <v>8</v>
      </c>
      <c r="I2" s="97" t="s">
        <v>8</v>
      </c>
      <c r="J2" s="97" t="s">
        <v>8</v>
      </c>
      <c r="K2" s="97" t="s">
        <v>8</v>
      </c>
      <c r="L2" s="97" t="s">
        <v>8</v>
      </c>
      <c r="M2" s="97" t="s">
        <v>8</v>
      </c>
      <c r="N2" s="97" t="s">
        <v>8</v>
      </c>
      <c r="O2" s="97" t="s">
        <v>8</v>
      </c>
      <c r="P2" s="97" t="s">
        <v>8</v>
      </c>
      <c r="Q2" s="3"/>
      <c r="R2" s="3"/>
      <c r="S2" s="3"/>
      <c r="T2" s="3"/>
      <c r="U2" s="3"/>
      <c r="V2" s="3"/>
      <c r="W2" s="3"/>
      <c r="X2" s="3"/>
      <c r="Y2" s="3"/>
      <c r="Z2" s="3"/>
      <c r="AA2" s="3"/>
      <c r="AB2" s="3"/>
    </row>
    <row r="3" spans="1:28" x14ac:dyDescent="0.25">
      <c r="A3" s="95" t="s">
        <v>171</v>
      </c>
      <c r="B3" s="95" t="s">
        <v>857</v>
      </c>
      <c r="C3" s="95" t="s">
        <v>858</v>
      </c>
      <c r="D3" s="95" t="s">
        <v>173</v>
      </c>
      <c r="E3" s="95" t="s">
        <v>174</v>
      </c>
      <c r="F3" s="95" t="s">
        <v>175</v>
      </c>
      <c r="G3" s="95" t="s">
        <v>176</v>
      </c>
      <c r="H3" s="95" t="s">
        <v>177</v>
      </c>
      <c r="I3" s="95" t="s">
        <v>178</v>
      </c>
      <c r="J3" s="116">
        <v>25</v>
      </c>
      <c r="K3" s="116">
        <v>0</v>
      </c>
      <c r="L3" s="116">
        <v>4</v>
      </c>
      <c r="M3" s="116" t="s">
        <v>179</v>
      </c>
      <c r="N3" s="116">
        <v>0</v>
      </c>
      <c r="O3" s="116"/>
      <c r="P3" s="116">
        <v>29</v>
      </c>
      <c r="Q3" s="95" t="s">
        <v>180</v>
      </c>
      <c r="R3" s="95" t="s">
        <v>181</v>
      </c>
      <c r="S3" s="95" t="s">
        <v>182</v>
      </c>
      <c r="T3" s="95" t="s">
        <v>183</v>
      </c>
      <c r="U3" s="95"/>
      <c r="V3" s="95" t="s">
        <v>184</v>
      </c>
      <c r="W3" s="95" t="s">
        <v>185</v>
      </c>
      <c r="X3" s="95" t="s">
        <v>186</v>
      </c>
      <c r="Y3" s="95"/>
      <c r="Z3" s="95"/>
      <c r="AA3" s="95" t="s">
        <v>187</v>
      </c>
      <c r="AB3" s="95">
        <v>4</v>
      </c>
    </row>
    <row r="4" spans="1:28" x14ac:dyDescent="0.25">
      <c r="A4" s="95" t="s">
        <v>188</v>
      </c>
      <c r="B4" s="95" t="s">
        <v>857</v>
      </c>
      <c r="C4" s="95" t="s">
        <v>858</v>
      </c>
      <c r="D4" s="95" t="s">
        <v>189</v>
      </c>
      <c r="E4" s="95" t="s">
        <v>190</v>
      </c>
      <c r="F4" s="95" t="s">
        <v>175</v>
      </c>
      <c r="G4" s="95" t="s">
        <v>176</v>
      </c>
      <c r="H4" s="95" t="s">
        <v>191</v>
      </c>
      <c r="I4" s="95" t="s">
        <v>192</v>
      </c>
      <c r="J4" s="116">
        <v>18.100000000000001</v>
      </c>
      <c r="K4" s="116">
        <v>0</v>
      </c>
      <c r="L4" s="116">
        <v>2.9</v>
      </c>
      <c r="M4" s="116" t="s">
        <v>179</v>
      </c>
      <c r="N4" s="116">
        <v>0</v>
      </c>
      <c r="O4" s="116"/>
      <c r="P4" s="116">
        <v>21</v>
      </c>
      <c r="Q4" s="95" t="s">
        <v>193</v>
      </c>
      <c r="R4" s="95" t="s">
        <v>181</v>
      </c>
      <c r="S4" s="95" t="s">
        <v>194</v>
      </c>
      <c r="T4" s="95" t="s">
        <v>183</v>
      </c>
      <c r="U4" s="95"/>
      <c r="V4" s="95" t="s">
        <v>184</v>
      </c>
      <c r="W4" s="95" t="s">
        <v>185</v>
      </c>
      <c r="X4" s="95" t="s">
        <v>186</v>
      </c>
      <c r="Y4" s="95"/>
      <c r="Z4" s="95"/>
      <c r="AA4" s="95" t="s">
        <v>195</v>
      </c>
      <c r="AB4" s="95">
        <v>2.9</v>
      </c>
    </row>
    <row r="5" spans="1:28" x14ac:dyDescent="0.25">
      <c r="A5" s="95" t="s">
        <v>196</v>
      </c>
      <c r="B5" s="95" t="s">
        <v>857</v>
      </c>
      <c r="C5" s="95" t="s">
        <v>858</v>
      </c>
      <c r="D5" s="95" t="s">
        <v>152</v>
      </c>
      <c r="E5" s="95" t="s">
        <v>197</v>
      </c>
      <c r="F5" s="95" t="s">
        <v>175</v>
      </c>
      <c r="G5" s="95" t="s">
        <v>176</v>
      </c>
      <c r="H5" s="95" t="s">
        <v>198</v>
      </c>
      <c r="I5" s="95" t="s">
        <v>199</v>
      </c>
      <c r="J5" s="116">
        <v>412.47</v>
      </c>
      <c r="K5" s="116">
        <v>0</v>
      </c>
      <c r="L5" s="116">
        <v>65.989999999999995</v>
      </c>
      <c r="M5" s="116" t="s">
        <v>179</v>
      </c>
      <c r="N5" s="116">
        <v>0</v>
      </c>
      <c r="O5" s="116"/>
      <c r="P5" s="116">
        <v>478.46</v>
      </c>
      <c r="Q5" s="95" t="s">
        <v>200</v>
      </c>
      <c r="R5" s="95" t="s">
        <v>181</v>
      </c>
      <c r="S5" s="95" t="s">
        <v>201</v>
      </c>
      <c r="T5" s="95" t="s">
        <v>183</v>
      </c>
      <c r="U5" s="95"/>
      <c r="V5" s="95" t="s">
        <v>184</v>
      </c>
      <c r="W5" s="95" t="s">
        <v>185</v>
      </c>
      <c r="X5" s="95" t="s">
        <v>186</v>
      </c>
      <c r="Y5" s="95"/>
      <c r="Z5" s="95"/>
      <c r="AA5" s="95" t="s">
        <v>202</v>
      </c>
      <c r="AB5" s="95">
        <v>65.989999999999995</v>
      </c>
    </row>
    <row r="6" spans="1:28" x14ac:dyDescent="0.25">
      <c r="A6" s="95" t="s">
        <v>203</v>
      </c>
      <c r="B6" s="95" t="s">
        <v>857</v>
      </c>
      <c r="C6" s="95" t="s">
        <v>858</v>
      </c>
      <c r="D6" s="95" t="s">
        <v>204</v>
      </c>
      <c r="E6" s="95" t="s">
        <v>205</v>
      </c>
      <c r="F6" s="95" t="s">
        <v>175</v>
      </c>
      <c r="G6" s="95" t="s">
        <v>176</v>
      </c>
      <c r="H6" s="95" t="s">
        <v>206</v>
      </c>
      <c r="I6" s="95" t="s">
        <v>207</v>
      </c>
      <c r="J6" s="116">
        <v>31.9</v>
      </c>
      <c r="K6" s="116">
        <v>0</v>
      </c>
      <c r="L6" s="116">
        <v>5.0999999999999996</v>
      </c>
      <c r="M6" s="116" t="s">
        <v>179</v>
      </c>
      <c r="N6" s="116">
        <v>0</v>
      </c>
      <c r="O6" s="116"/>
      <c r="P6" s="116">
        <v>37</v>
      </c>
      <c r="Q6" s="95" t="s">
        <v>208</v>
      </c>
      <c r="R6" s="95" t="s">
        <v>181</v>
      </c>
      <c r="S6" s="95" t="s">
        <v>182</v>
      </c>
      <c r="T6" s="95" t="s">
        <v>183</v>
      </c>
      <c r="U6" s="95"/>
      <c r="V6" s="95" t="s">
        <v>184</v>
      </c>
      <c r="W6" s="95" t="s">
        <v>185</v>
      </c>
      <c r="X6" s="95" t="s">
        <v>186</v>
      </c>
      <c r="Y6" s="95"/>
      <c r="Z6" s="95"/>
      <c r="AA6" s="95" t="s">
        <v>209</v>
      </c>
      <c r="AB6" s="95">
        <v>5.0999999999999996</v>
      </c>
    </row>
    <row r="7" spans="1:28" x14ac:dyDescent="0.25">
      <c r="A7" s="95" t="s">
        <v>210</v>
      </c>
      <c r="B7" s="95" t="s">
        <v>857</v>
      </c>
      <c r="C7" s="95" t="s">
        <v>858</v>
      </c>
      <c r="D7" s="95" t="s">
        <v>211</v>
      </c>
      <c r="E7" s="95" t="s">
        <v>212</v>
      </c>
      <c r="F7" s="95" t="s">
        <v>175</v>
      </c>
      <c r="G7" s="95" t="s">
        <v>176</v>
      </c>
      <c r="H7" s="95" t="s">
        <v>213</v>
      </c>
      <c r="I7" s="95" t="s">
        <v>214</v>
      </c>
      <c r="J7" s="116">
        <v>26.72</v>
      </c>
      <c r="K7" s="116">
        <v>0</v>
      </c>
      <c r="L7" s="116">
        <v>4.28</v>
      </c>
      <c r="M7" s="116" t="s">
        <v>179</v>
      </c>
      <c r="N7" s="116">
        <v>0</v>
      </c>
      <c r="O7" s="116"/>
      <c r="P7" s="116">
        <v>31</v>
      </c>
      <c r="Q7" s="95" t="s">
        <v>215</v>
      </c>
      <c r="R7" s="95" t="s">
        <v>181</v>
      </c>
      <c r="S7" s="95" t="s">
        <v>216</v>
      </c>
      <c r="T7" s="95" t="s">
        <v>183</v>
      </c>
      <c r="U7" s="95"/>
      <c r="V7" s="95" t="s">
        <v>184</v>
      </c>
      <c r="W7" s="95" t="s">
        <v>185</v>
      </c>
      <c r="X7" s="95" t="s">
        <v>186</v>
      </c>
      <c r="Y7" s="95"/>
      <c r="Z7" s="95"/>
      <c r="AA7" s="95" t="s">
        <v>217</v>
      </c>
      <c r="AB7" s="95">
        <v>4.28</v>
      </c>
    </row>
    <row r="8" spans="1:28" x14ac:dyDescent="0.25">
      <c r="A8" s="95" t="s">
        <v>218</v>
      </c>
      <c r="B8" s="95" t="s">
        <v>857</v>
      </c>
      <c r="C8" s="95" t="s">
        <v>858</v>
      </c>
      <c r="D8" s="95" t="s">
        <v>219</v>
      </c>
      <c r="E8" s="95" t="s">
        <v>220</v>
      </c>
      <c r="F8" s="95" t="s">
        <v>175</v>
      </c>
      <c r="G8" s="95" t="s">
        <v>176</v>
      </c>
      <c r="H8" s="95" t="s">
        <v>221</v>
      </c>
      <c r="I8" s="95" t="s">
        <v>222</v>
      </c>
      <c r="J8" s="116">
        <v>23.28</v>
      </c>
      <c r="K8" s="116">
        <v>0</v>
      </c>
      <c r="L8" s="116">
        <v>3.72</v>
      </c>
      <c r="M8" s="116" t="s">
        <v>179</v>
      </c>
      <c r="N8" s="116">
        <v>0</v>
      </c>
      <c r="O8" s="116"/>
      <c r="P8" s="116">
        <v>27</v>
      </c>
      <c r="Q8" s="95" t="s">
        <v>223</v>
      </c>
      <c r="R8" s="95" t="s">
        <v>181</v>
      </c>
      <c r="S8" s="95" t="s">
        <v>216</v>
      </c>
      <c r="T8" s="95" t="s">
        <v>183</v>
      </c>
      <c r="U8" s="95"/>
      <c r="V8" s="95" t="s">
        <v>184</v>
      </c>
      <c r="W8" s="95" t="s">
        <v>185</v>
      </c>
      <c r="X8" s="95" t="s">
        <v>186</v>
      </c>
      <c r="Y8" s="95"/>
      <c r="Z8" s="95"/>
      <c r="AA8" s="95" t="s">
        <v>224</v>
      </c>
      <c r="AB8" s="95">
        <v>3.72</v>
      </c>
    </row>
    <row r="9" spans="1:28" x14ac:dyDescent="0.25">
      <c r="A9" s="95" t="s">
        <v>225</v>
      </c>
      <c r="B9" s="95" t="s">
        <v>857</v>
      </c>
      <c r="C9" s="95" t="s">
        <v>858</v>
      </c>
      <c r="D9" s="95" t="s">
        <v>226</v>
      </c>
      <c r="E9" s="95" t="s">
        <v>227</v>
      </c>
      <c r="F9" s="95" t="s">
        <v>175</v>
      </c>
      <c r="G9" s="95" t="s">
        <v>176</v>
      </c>
      <c r="H9" s="95" t="s">
        <v>228</v>
      </c>
      <c r="I9" s="95" t="s">
        <v>229</v>
      </c>
      <c r="J9" s="116">
        <v>23.28</v>
      </c>
      <c r="K9" s="116">
        <v>0</v>
      </c>
      <c r="L9" s="116">
        <v>3.72</v>
      </c>
      <c r="M9" s="116" t="s">
        <v>179</v>
      </c>
      <c r="N9" s="116">
        <v>0</v>
      </c>
      <c r="O9" s="116"/>
      <c r="P9" s="116">
        <v>27</v>
      </c>
      <c r="Q9" s="95" t="s">
        <v>230</v>
      </c>
      <c r="R9" s="95" t="s">
        <v>181</v>
      </c>
      <c r="S9" s="95" t="s">
        <v>182</v>
      </c>
      <c r="T9" s="95" t="s">
        <v>183</v>
      </c>
      <c r="U9" s="95"/>
      <c r="V9" s="95" t="s">
        <v>184</v>
      </c>
      <c r="W9" s="95" t="s">
        <v>185</v>
      </c>
      <c r="X9" s="95" t="s">
        <v>186</v>
      </c>
      <c r="Y9" s="95"/>
      <c r="Z9" s="95"/>
      <c r="AA9" s="95" t="s">
        <v>224</v>
      </c>
      <c r="AB9" s="95">
        <v>3.72</v>
      </c>
    </row>
    <row r="10" spans="1:28" x14ac:dyDescent="0.25">
      <c r="A10" s="95" t="s">
        <v>231</v>
      </c>
      <c r="B10" s="95" t="s">
        <v>857</v>
      </c>
      <c r="C10" s="95" t="s">
        <v>858</v>
      </c>
      <c r="D10" s="95" t="s">
        <v>232</v>
      </c>
      <c r="E10" s="95" t="s">
        <v>233</v>
      </c>
      <c r="F10" s="95" t="s">
        <v>175</v>
      </c>
      <c r="G10" s="95" t="s">
        <v>176</v>
      </c>
      <c r="H10" s="95" t="s">
        <v>234</v>
      </c>
      <c r="I10" s="95" t="s">
        <v>235</v>
      </c>
      <c r="J10" s="116">
        <v>30.17</v>
      </c>
      <c r="K10" s="116">
        <v>0</v>
      </c>
      <c r="L10" s="116">
        <v>4.83</v>
      </c>
      <c r="M10" s="116" t="s">
        <v>179</v>
      </c>
      <c r="N10" s="116">
        <v>0</v>
      </c>
      <c r="O10" s="116"/>
      <c r="P10" s="116">
        <v>35</v>
      </c>
      <c r="Q10" s="95" t="s">
        <v>236</v>
      </c>
      <c r="R10" s="95" t="s">
        <v>181</v>
      </c>
      <c r="S10" s="95" t="s">
        <v>182</v>
      </c>
      <c r="T10" s="95" t="s">
        <v>183</v>
      </c>
      <c r="U10" s="95"/>
      <c r="V10" s="95" t="s">
        <v>184</v>
      </c>
      <c r="W10" s="95" t="s">
        <v>185</v>
      </c>
      <c r="X10" s="95" t="s">
        <v>186</v>
      </c>
      <c r="Y10" s="95"/>
      <c r="Z10" s="95"/>
      <c r="AA10" s="95" t="s">
        <v>237</v>
      </c>
      <c r="AB10" s="95">
        <v>4.83</v>
      </c>
    </row>
    <row r="11" spans="1:28" x14ac:dyDescent="0.25">
      <c r="A11" s="95" t="s">
        <v>238</v>
      </c>
      <c r="B11" s="95" t="s">
        <v>857</v>
      </c>
      <c r="C11" s="95" t="s">
        <v>858</v>
      </c>
      <c r="D11" s="95" t="s">
        <v>239</v>
      </c>
      <c r="E11" s="95" t="s">
        <v>240</v>
      </c>
      <c r="F11" s="95" t="s">
        <v>175</v>
      </c>
      <c r="G11" s="95" t="s">
        <v>176</v>
      </c>
      <c r="H11" s="95" t="s">
        <v>241</v>
      </c>
      <c r="I11" s="95" t="s">
        <v>242</v>
      </c>
      <c r="J11" s="116">
        <v>19.829999999999998</v>
      </c>
      <c r="K11" s="116">
        <v>0</v>
      </c>
      <c r="L11" s="116">
        <v>3.17</v>
      </c>
      <c r="M11" s="116" t="s">
        <v>179</v>
      </c>
      <c r="N11" s="116">
        <v>0</v>
      </c>
      <c r="O11" s="116"/>
      <c r="P11" s="116">
        <v>23</v>
      </c>
      <c r="Q11" s="95" t="s">
        <v>243</v>
      </c>
      <c r="R11" s="95" t="s">
        <v>181</v>
      </c>
      <c r="S11" s="95" t="s">
        <v>216</v>
      </c>
      <c r="T11" s="95" t="s">
        <v>183</v>
      </c>
      <c r="U11" s="95"/>
      <c r="V11" s="95" t="s">
        <v>184</v>
      </c>
      <c r="W11" s="95" t="s">
        <v>185</v>
      </c>
      <c r="X11" s="95" t="s">
        <v>186</v>
      </c>
      <c r="Y11" s="95"/>
      <c r="Z11" s="95"/>
      <c r="AA11" s="95" t="s">
        <v>244</v>
      </c>
      <c r="AB11" s="95">
        <v>3.17</v>
      </c>
    </row>
    <row r="12" spans="1:28" x14ac:dyDescent="0.25">
      <c r="A12" s="95" t="s">
        <v>245</v>
      </c>
      <c r="B12" s="95" t="s">
        <v>857</v>
      </c>
      <c r="C12" s="95" t="s">
        <v>858</v>
      </c>
      <c r="D12" s="95" t="s">
        <v>246</v>
      </c>
      <c r="E12" s="95" t="s">
        <v>247</v>
      </c>
      <c r="F12" s="95" t="s">
        <v>175</v>
      </c>
      <c r="G12" s="95" t="s">
        <v>176</v>
      </c>
      <c r="H12" s="95" t="s">
        <v>248</v>
      </c>
      <c r="I12" s="95" t="s">
        <v>249</v>
      </c>
      <c r="J12" s="116">
        <v>21.55</v>
      </c>
      <c r="K12" s="116">
        <v>0</v>
      </c>
      <c r="L12" s="116">
        <v>3.45</v>
      </c>
      <c r="M12" s="116" t="s">
        <v>179</v>
      </c>
      <c r="N12" s="116">
        <v>0</v>
      </c>
      <c r="O12" s="116"/>
      <c r="P12" s="116">
        <v>25</v>
      </c>
      <c r="Q12" s="95" t="s">
        <v>250</v>
      </c>
      <c r="R12" s="95" t="s">
        <v>181</v>
      </c>
      <c r="S12" s="95" t="s">
        <v>182</v>
      </c>
      <c r="T12" s="95" t="s">
        <v>183</v>
      </c>
      <c r="U12" s="95"/>
      <c r="V12" s="95" t="s">
        <v>184</v>
      </c>
      <c r="W12" s="95" t="s">
        <v>185</v>
      </c>
      <c r="X12" s="95" t="s">
        <v>186</v>
      </c>
      <c r="Y12" s="95"/>
      <c r="Z12" s="95"/>
      <c r="AA12" s="95" t="s">
        <v>251</v>
      </c>
      <c r="AB12" s="95">
        <v>3.45</v>
      </c>
    </row>
    <row r="13" spans="1:28" x14ac:dyDescent="0.25">
      <c r="A13" s="95" t="s">
        <v>252</v>
      </c>
      <c r="B13" s="95" t="s">
        <v>857</v>
      </c>
      <c r="C13" s="95" t="s">
        <v>858</v>
      </c>
      <c r="D13" s="95" t="s">
        <v>152</v>
      </c>
      <c r="E13" s="95" t="s">
        <v>197</v>
      </c>
      <c r="F13" s="95" t="s">
        <v>175</v>
      </c>
      <c r="G13" s="95" t="s">
        <v>176</v>
      </c>
      <c r="H13" s="95" t="s">
        <v>253</v>
      </c>
      <c r="I13" s="95" t="s">
        <v>254</v>
      </c>
      <c r="J13" s="116">
        <v>173.31</v>
      </c>
      <c r="K13" s="116">
        <v>0</v>
      </c>
      <c r="L13" s="116">
        <v>27.73</v>
      </c>
      <c r="M13" s="116" t="s">
        <v>179</v>
      </c>
      <c r="N13" s="116">
        <v>0</v>
      </c>
      <c r="O13" s="116"/>
      <c r="P13" s="116">
        <v>201.04</v>
      </c>
      <c r="Q13" s="95" t="s">
        <v>255</v>
      </c>
      <c r="R13" s="95" t="s">
        <v>181</v>
      </c>
      <c r="S13" s="95" t="s">
        <v>201</v>
      </c>
      <c r="T13" s="95" t="s">
        <v>183</v>
      </c>
      <c r="U13" s="95"/>
      <c r="V13" s="95" t="s">
        <v>184</v>
      </c>
      <c r="W13" s="95" t="s">
        <v>185</v>
      </c>
      <c r="X13" s="95" t="s">
        <v>186</v>
      </c>
      <c r="Y13" s="95"/>
      <c r="Z13" s="95"/>
      <c r="AA13" s="95" t="s">
        <v>256</v>
      </c>
      <c r="AB13" s="95">
        <v>27.73</v>
      </c>
    </row>
    <row r="14" spans="1:28" x14ac:dyDescent="0.25">
      <c r="A14" s="95" t="s">
        <v>257</v>
      </c>
      <c r="B14" s="95" t="s">
        <v>857</v>
      </c>
      <c r="C14" s="95" t="s">
        <v>858</v>
      </c>
      <c r="D14" s="95" t="s">
        <v>258</v>
      </c>
      <c r="E14" s="95" t="s">
        <v>259</v>
      </c>
      <c r="F14" s="95" t="s">
        <v>175</v>
      </c>
      <c r="G14" s="95" t="s">
        <v>176</v>
      </c>
      <c r="H14" s="95" t="s">
        <v>260</v>
      </c>
      <c r="I14" s="95" t="s">
        <v>261</v>
      </c>
      <c r="J14" s="116">
        <v>23.28</v>
      </c>
      <c r="K14" s="116">
        <v>0</v>
      </c>
      <c r="L14" s="116">
        <v>3.72</v>
      </c>
      <c r="M14" s="116" t="s">
        <v>179</v>
      </c>
      <c r="N14" s="116">
        <v>0</v>
      </c>
      <c r="O14" s="116"/>
      <c r="P14" s="116">
        <v>27</v>
      </c>
      <c r="Q14" s="95" t="s">
        <v>262</v>
      </c>
      <c r="R14" s="95" t="s">
        <v>181</v>
      </c>
      <c r="S14" s="95" t="s">
        <v>216</v>
      </c>
      <c r="T14" s="95" t="s">
        <v>183</v>
      </c>
      <c r="U14" s="95"/>
      <c r="V14" s="95" t="s">
        <v>184</v>
      </c>
      <c r="W14" s="95" t="s">
        <v>185</v>
      </c>
      <c r="X14" s="95" t="s">
        <v>186</v>
      </c>
      <c r="Y14" s="95"/>
      <c r="Z14" s="95"/>
      <c r="AA14" s="95" t="s">
        <v>224</v>
      </c>
      <c r="AB14" s="95">
        <v>3.72</v>
      </c>
    </row>
    <row r="15" spans="1:28" x14ac:dyDescent="0.25">
      <c r="A15" s="95" t="s">
        <v>263</v>
      </c>
      <c r="B15" s="95" t="s">
        <v>857</v>
      </c>
      <c r="C15" s="95" t="s">
        <v>858</v>
      </c>
      <c r="D15" s="95" t="s">
        <v>264</v>
      </c>
      <c r="E15" s="95" t="s">
        <v>265</v>
      </c>
      <c r="F15" s="95" t="s">
        <v>175</v>
      </c>
      <c r="G15" s="95" t="s">
        <v>176</v>
      </c>
      <c r="H15" s="95" t="s">
        <v>266</v>
      </c>
      <c r="I15" s="95" t="s">
        <v>267</v>
      </c>
      <c r="J15" s="116">
        <v>18.100000000000001</v>
      </c>
      <c r="K15" s="116">
        <v>0</v>
      </c>
      <c r="L15" s="116">
        <v>2.9</v>
      </c>
      <c r="M15" s="116" t="s">
        <v>179</v>
      </c>
      <c r="N15" s="116">
        <v>0</v>
      </c>
      <c r="O15" s="116"/>
      <c r="P15" s="116">
        <v>21</v>
      </c>
      <c r="Q15" s="95" t="s">
        <v>268</v>
      </c>
      <c r="R15" s="95" t="s">
        <v>181</v>
      </c>
      <c r="S15" s="95" t="s">
        <v>182</v>
      </c>
      <c r="T15" s="95" t="s">
        <v>183</v>
      </c>
      <c r="U15" s="95"/>
      <c r="V15" s="95" t="s">
        <v>184</v>
      </c>
      <c r="W15" s="95" t="s">
        <v>185</v>
      </c>
      <c r="X15" s="95" t="s">
        <v>186</v>
      </c>
      <c r="Y15" s="95"/>
      <c r="Z15" s="95"/>
      <c r="AA15" s="95" t="s">
        <v>195</v>
      </c>
      <c r="AB15" s="95">
        <v>2.9</v>
      </c>
    </row>
    <row r="16" spans="1:28" x14ac:dyDescent="0.25">
      <c r="A16" s="95" t="s">
        <v>269</v>
      </c>
      <c r="B16" s="95" t="s">
        <v>857</v>
      </c>
      <c r="C16" s="95" t="s">
        <v>858</v>
      </c>
      <c r="D16" s="95" t="s">
        <v>152</v>
      </c>
      <c r="E16" s="95" t="s">
        <v>197</v>
      </c>
      <c r="F16" s="95" t="s">
        <v>175</v>
      </c>
      <c r="G16" s="95" t="s">
        <v>176</v>
      </c>
      <c r="H16" s="95" t="s">
        <v>270</v>
      </c>
      <c r="I16" s="95" t="s">
        <v>271</v>
      </c>
      <c r="J16" s="116">
        <v>390.99</v>
      </c>
      <c r="K16" s="116">
        <v>0</v>
      </c>
      <c r="L16" s="116">
        <v>62.56</v>
      </c>
      <c r="M16" s="116" t="s">
        <v>179</v>
      </c>
      <c r="N16" s="116">
        <v>0</v>
      </c>
      <c r="O16" s="116"/>
      <c r="P16" s="116">
        <v>453.55</v>
      </c>
      <c r="Q16" s="95" t="s">
        <v>272</v>
      </c>
      <c r="R16" s="95" t="s">
        <v>181</v>
      </c>
      <c r="S16" s="95" t="s">
        <v>201</v>
      </c>
      <c r="T16" s="95" t="s">
        <v>183</v>
      </c>
      <c r="U16" s="95"/>
      <c r="V16" s="95" t="s">
        <v>184</v>
      </c>
      <c r="W16" s="95" t="s">
        <v>185</v>
      </c>
      <c r="X16" s="95" t="s">
        <v>186</v>
      </c>
      <c r="Y16" s="95"/>
      <c r="Z16" s="95"/>
      <c r="AA16" s="95" t="s">
        <v>273</v>
      </c>
      <c r="AB16" s="95">
        <v>62.56</v>
      </c>
    </row>
    <row r="17" spans="1:28" x14ac:dyDescent="0.25">
      <c r="A17" s="95" t="s">
        <v>274</v>
      </c>
      <c r="B17" s="95" t="s">
        <v>857</v>
      </c>
      <c r="C17" s="95" t="s">
        <v>858</v>
      </c>
      <c r="D17" s="95" t="s">
        <v>275</v>
      </c>
      <c r="E17" s="95" t="s">
        <v>276</v>
      </c>
      <c r="F17" s="95" t="s">
        <v>175</v>
      </c>
      <c r="G17" s="95" t="s">
        <v>176</v>
      </c>
      <c r="H17" s="95" t="s">
        <v>277</v>
      </c>
      <c r="I17" s="95" t="s">
        <v>278</v>
      </c>
      <c r="J17" s="116">
        <v>26.72</v>
      </c>
      <c r="K17" s="116">
        <v>0</v>
      </c>
      <c r="L17" s="116">
        <v>4.28</v>
      </c>
      <c r="M17" s="116" t="s">
        <v>179</v>
      </c>
      <c r="N17" s="116">
        <v>0</v>
      </c>
      <c r="O17" s="116"/>
      <c r="P17" s="116">
        <v>31</v>
      </c>
      <c r="Q17" s="95" t="s">
        <v>279</v>
      </c>
      <c r="R17" s="95" t="s">
        <v>181</v>
      </c>
      <c r="S17" s="95" t="s">
        <v>216</v>
      </c>
      <c r="T17" s="95" t="s">
        <v>183</v>
      </c>
      <c r="U17" s="95"/>
      <c r="V17" s="95" t="s">
        <v>184</v>
      </c>
      <c r="W17" s="95" t="s">
        <v>185</v>
      </c>
      <c r="X17" s="95" t="s">
        <v>186</v>
      </c>
      <c r="Y17" s="95"/>
      <c r="Z17" s="95"/>
      <c r="AA17" s="95" t="s">
        <v>217</v>
      </c>
      <c r="AB17" s="95">
        <v>4.28</v>
      </c>
    </row>
    <row r="18" spans="1:28" x14ac:dyDescent="0.25">
      <c r="A18" s="95" t="s">
        <v>280</v>
      </c>
      <c r="B18" s="95" t="s">
        <v>857</v>
      </c>
      <c r="C18" s="95" t="s">
        <v>858</v>
      </c>
      <c r="D18" s="95" t="s">
        <v>281</v>
      </c>
      <c r="E18" s="95" t="s">
        <v>282</v>
      </c>
      <c r="F18" s="95" t="s">
        <v>175</v>
      </c>
      <c r="G18" s="95" t="s">
        <v>176</v>
      </c>
      <c r="H18" s="95" t="s">
        <v>283</v>
      </c>
      <c r="I18" s="95" t="s">
        <v>284</v>
      </c>
      <c r="J18" s="116">
        <v>16.38</v>
      </c>
      <c r="K18" s="116">
        <v>0</v>
      </c>
      <c r="L18" s="116">
        <v>2.62</v>
      </c>
      <c r="M18" s="116" t="s">
        <v>179</v>
      </c>
      <c r="N18" s="116">
        <v>0</v>
      </c>
      <c r="O18" s="116"/>
      <c r="P18" s="116">
        <v>19</v>
      </c>
      <c r="Q18" s="95" t="s">
        <v>285</v>
      </c>
      <c r="R18" s="95" t="s">
        <v>181</v>
      </c>
      <c r="S18" s="95" t="s">
        <v>182</v>
      </c>
      <c r="T18" s="95" t="s">
        <v>183</v>
      </c>
      <c r="U18" s="95"/>
      <c r="V18" s="95" t="s">
        <v>184</v>
      </c>
      <c r="W18" s="95" t="s">
        <v>185</v>
      </c>
      <c r="X18" s="95" t="s">
        <v>186</v>
      </c>
      <c r="Y18" s="95"/>
      <c r="Z18" s="95"/>
      <c r="AA18" s="95" t="s">
        <v>286</v>
      </c>
      <c r="AB18" s="95">
        <v>2.62</v>
      </c>
    </row>
    <row r="19" spans="1:28" x14ac:dyDescent="0.25">
      <c r="A19" s="95" t="s">
        <v>287</v>
      </c>
      <c r="B19" s="95" t="s">
        <v>857</v>
      </c>
      <c r="C19" s="95" t="s">
        <v>858</v>
      </c>
      <c r="D19" s="95" t="s">
        <v>288</v>
      </c>
      <c r="E19" s="95" t="s">
        <v>289</v>
      </c>
      <c r="F19" s="95" t="s">
        <v>175</v>
      </c>
      <c r="G19" s="95" t="s">
        <v>176</v>
      </c>
      <c r="H19" s="95" t="s">
        <v>290</v>
      </c>
      <c r="I19" s="95" t="s">
        <v>291</v>
      </c>
      <c r="J19" s="116">
        <v>37.07</v>
      </c>
      <c r="K19" s="116">
        <v>0</v>
      </c>
      <c r="L19" s="116">
        <v>5.93</v>
      </c>
      <c r="M19" s="116" t="s">
        <v>179</v>
      </c>
      <c r="N19" s="116">
        <v>0</v>
      </c>
      <c r="O19" s="116"/>
      <c r="P19" s="116">
        <v>43</v>
      </c>
      <c r="Q19" s="95" t="s">
        <v>292</v>
      </c>
      <c r="R19" s="95" t="s">
        <v>181</v>
      </c>
      <c r="S19" s="95" t="s">
        <v>216</v>
      </c>
      <c r="T19" s="95" t="s">
        <v>183</v>
      </c>
      <c r="U19" s="95"/>
      <c r="V19" s="95" t="s">
        <v>184</v>
      </c>
      <c r="W19" s="95" t="s">
        <v>185</v>
      </c>
      <c r="X19" s="95" t="s">
        <v>186</v>
      </c>
      <c r="Y19" s="95"/>
      <c r="Z19" s="95"/>
      <c r="AA19" s="95" t="s">
        <v>293</v>
      </c>
      <c r="AB19" s="95">
        <v>5.93</v>
      </c>
    </row>
    <row r="20" spans="1:28" x14ac:dyDescent="0.25">
      <c r="A20" s="95" t="s">
        <v>294</v>
      </c>
      <c r="B20" s="95" t="s">
        <v>857</v>
      </c>
      <c r="C20" s="95" t="s">
        <v>858</v>
      </c>
      <c r="D20" s="95" t="s">
        <v>295</v>
      </c>
      <c r="E20" s="95" t="s">
        <v>296</v>
      </c>
      <c r="F20" s="95" t="s">
        <v>175</v>
      </c>
      <c r="G20" s="95" t="s">
        <v>176</v>
      </c>
      <c r="H20" s="95" t="s">
        <v>297</v>
      </c>
      <c r="I20" s="95" t="s">
        <v>298</v>
      </c>
      <c r="J20" s="116">
        <v>30.17</v>
      </c>
      <c r="K20" s="116">
        <v>0</v>
      </c>
      <c r="L20" s="116">
        <v>4.83</v>
      </c>
      <c r="M20" s="116" t="s">
        <v>179</v>
      </c>
      <c r="N20" s="116">
        <v>0</v>
      </c>
      <c r="O20" s="116"/>
      <c r="P20" s="116">
        <v>35</v>
      </c>
      <c r="Q20" s="95" t="s">
        <v>299</v>
      </c>
      <c r="R20" s="95" t="s">
        <v>181</v>
      </c>
      <c r="S20" s="95" t="s">
        <v>216</v>
      </c>
      <c r="T20" s="95" t="s">
        <v>183</v>
      </c>
      <c r="U20" s="95"/>
      <c r="V20" s="95" t="s">
        <v>184</v>
      </c>
      <c r="W20" s="95" t="s">
        <v>185</v>
      </c>
      <c r="X20" s="95" t="s">
        <v>186</v>
      </c>
      <c r="Y20" s="95"/>
      <c r="Z20" s="95"/>
      <c r="AA20" s="95" t="s">
        <v>237</v>
      </c>
      <c r="AB20" s="95">
        <v>4.83</v>
      </c>
    </row>
    <row r="21" spans="1:28" x14ac:dyDescent="0.25">
      <c r="A21" s="95" t="s">
        <v>300</v>
      </c>
      <c r="B21" s="95" t="s">
        <v>857</v>
      </c>
      <c r="C21" s="95" t="s">
        <v>858</v>
      </c>
      <c r="D21" s="95" t="s">
        <v>301</v>
      </c>
      <c r="E21" s="95" t="s">
        <v>302</v>
      </c>
      <c r="F21" s="95" t="s">
        <v>175</v>
      </c>
      <c r="G21" s="95" t="s">
        <v>176</v>
      </c>
      <c r="H21" s="95" t="s">
        <v>303</v>
      </c>
      <c r="I21" s="95" t="s">
        <v>304</v>
      </c>
      <c r="J21" s="116">
        <v>30.17</v>
      </c>
      <c r="K21" s="116">
        <v>0</v>
      </c>
      <c r="L21" s="116">
        <v>4.83</v>
      </c>
      <c r="M21" s="116" t="s">
        <v>179</v>
      </c>
      <c r="N21" s="116">
        <v>0</v>
      </c>
      <c r="O21" s="116"/>
      <c r="P21" s="116">
        <v>35</v>
      </c>
      <c r="Q21" s="95" t="s">
        <v>305</v>
      </c>
      <c r="R21" s="95" t="s">
        <v>181</v>
      </c>
      <c r="S21" s="95" t="s">
        <v>182</v>
      </c>
      <c r="T21" s="95" t="s">
        <v>183</v>
      </c>
      <c r="U21" s="95"/>
      <c r="V21" s="95" t="s">
        <v>184</v>
      </c>
      <c r="W21" s="95" t="s">
        <v>185</v>
      </c>
      <c r="X21" s="95" t="s">
        <v>186</v>
      </c>
      <c r="Y21" s="95"/>
      <c r="Z21" s="95"/>
      <c r="AA21" s="95" t="s">
        <v>237</v>
      </c>
      <c r="AB21" s="95">
        <v>4.83</v>
      </c>
    </row>
    <row r="22" spans="1:28" x14ac:dyDescent="0.25">
      <c r="A22" s="95" t="s">
        <v>306</v>
      </c>
      <c r="B22" s="95" t="s">
        <v>857</v>
      </c>
      <c r="C22" s="95" t="s">
        <v>858</v>
      </c>
      <c r="D22" s="95" t="s">
        <v>307</v>
      </c>
      <c r="E22" s="95" t="s">
        <v>308</v>
      </c>
      <c r="F22" s="95" t="s">
        <v>175</v>
      </c>
      <c r="G22" s="95" t="s">
        <v>176</v>
      </c>
      <c r="H22" s="95" t="s">
        <v>309</v>
      </c>
      <c r="I22" s="95" t="s">
        <v>310</v>
      </c>
      <c r="J22" s="116">
        <v>25</v>
      </c>
      <c r="K22" s="116">
        <v>0</v>
      </c>
      <c r="L22" s="116">
        <v>4</v>
      </c>
      <c r="M22" s="116" t="s">
        <v>179</v>
      </c>
      <c r="N22" s="116">
        <v>0</v>
      </c>
      <c r="O22" s="116"/>
      <c r="P22" s="116">
        <v>29</v>
      </c>
      <c r="Q22" s="95" t="s">
        <v>311</v>
      </c>
      <c r="R22" s="95" t="s">
        <v>181</v>
      </c>
      <c r="S22" s="95" t="s">
        <v>216</v>
      </c>
      <c r="T22" s="95" t="s">
        <v>183</v>
      </c>
      <c r="U22" s="95"/>
      <c r="V22" s="95" t="s">
        <v>184</v>
      </c>
      <c r="W22" s="95" t="s">
        <v>185</v>
      </c>
      <c r="X22" s="95" t="s">
        <v>186</v>
      </c>
      <c r="Y22" s="95"/>
      <c r="Z22" s="95"/>
      <c r="AA22" s="95" t="s">
        <v>187</v>
      </c>
      <c r="AB22" s="95">
        <v>4</v>
      </c>
    </row>
    <row r="23" spans="1:28" x14ac:dyDescent="0.25">
      <c r="A23" s="95" t="s">
        <v>312</v>
      </c>
      <c r="B23" s="95" t="s">
        <v>857</v>
      </c>
      <c r="C23" s="95" t="s">
        <v>858</v>
      </c>
      <c r="D23" s="95" t="s">
        <v>152</v>
      </c>
      <c r="E23" s="95" t="s">
        <v>197</v>
      </c>
      <c r="F23" s="95" t="s">
        <v>175</v>
      </c>
      <c r="G23" s="95" t="s">
        <v>176</v>
      </c>
      <c r="H23" s="95" t="s">
        <v>313</v>
      </c>
      <c r="I23" s="95" t="s">
        <v>314</v>
      </c>
      <c r="J23" s="116">
        <v>406.8</v>
      </c>
      <c r="K23" s="116">
        <v>0</v>
      </c>
      <c r="L23" s="116">
        <v>65.09</v>
      </c>
      <c r="M23" s="116" t="s">
        <v>179</v>
      </c>
      <c r="N23" s="116">
        <v>0</v>
      </c>
      <c r="O23" s="116"/>
      <c r="P23" s="116">
        <v>471.89</v>
      </c>
      <c r="Q23" s="95" t="s">
        <v>315</v>
      </c>
      <c r="R23" s="95" t="s">
        <v>181</v>
      </c>
      <c r="S23" s="95" t="s">
        <v>201</v>
      </c>
      <c r="T23" s="95" t="s">
        <v>183</v>
      </c>
      <c r="U23" s="95"/>
      <c r="V23" s="95" t="s">
        <v>184</v>
      </c>
      <c r="W23" s="95" t="s">
        <v>185</v>
      </c>
      <c r="X23" s="95" t="s">
        <v>186</v>
      </c>
      <c r="Y23" s="95"/>
      <c r="Z23" s="95"/>
      <c r="AA23" s="95" t="s">
        <v>316</v>
      </c>
      <c r="AB23" s="95">
        <v>65.09</v>
      </c>
    </row>
    <row r="24" spans="1:28" x14ac:dyDescent="0.25">
      <c r="A24" s="95" t="s">
        <v>317</v>
      </c>
      <c r="B24" s="99" t="s">
        <v>857</v>
      </c>
      <c r="C24" s="99" t="s">
        <v>858</v>
      </c>
      <c r="D24" s="99" t="s">
        <v>417</v>
      </c>
      <c r="E24" s="99" t="s">
        <v>418</v>
      </c>
      <c r="F24" s="99" t="s">
        <v>175</v>
      </c>
      <c r="G24" s="99" t="s">
        <v>176</v>
      </c>
      <c r="H24" s="99" t="s">
        <v>419</v>
      </c>
      <c r="I24" s="99" t="s">
        <v>860</v>
      </c>
      <c r="J24" s="102">
        <v>3780.27</v>
      </c>
      <c r="K24" s="102">
        <v>0</v>
      </c>
      <c r="L24" s="102">
        <v>604.84</v>
      </c>
      <c r="M24" s="102" t="s">
        <v>179</v>
      </c>
      <c r="N24" s="102">
        <v>0</v>
      </c>
      <c r="O24" s="102"/>
      <c r="P24" s="102">
        <v>4385.1099999999997</v>
      </c>
      <c r="Q24" s="95" t="s">
        <v>318</v>
      </c>
      <c r="R24" s="95" t="s">
        <v>181</v>
      </c>
      <c r="S24" s="95" t="s">
        <v>182</v>
      </c>
      <c r="T24" s="95" t="s">
        <v>183</v>
      </c>
      <c r="U24" s="95"/>
      <c r="V24" s="95" t="s">
        <v>184</v>
      </c>
      <c r="W24" s="95" t="s">
        <v>185</v>
      </c>
      <c r="X24" s="95" t="s">
        <v>186</v>
      </c>
      <c r="Y24" s="95"/>
      <c r="Z24" s="95"/>
      <c r="AA24" s="95" t="s">
        <v>195</v>
      </c>
      <c r="AB24" s="95">
        <v>2.9</v>
      </c>
    </row>
    <row r="25" spans="1:28" s="95" customFormat="1" x14ac:dyDescent="0.25">
      <c r="J25" s="104">
        <f t="shared" ref="J25:P25" si="0">SUM(J3:J24)</f>
        <v>5590.56</v>
      </c>
      <c r="K25" s="104">
        <f t="shared" si="0"/>
        <v>0</v>
      </c>
      <c r="L25" s="104">
        <f t="shared" si="0"/>
        <v>894.49</v>
      </c>
      <c r="M25" s="104">
        <f t="shared" si="0"/>
        <v>0</v>
      </c>
      <c r="N25" s="104">
        <f t="shared" si="0"/>
        <v>0</v>
      </c>
      <c r="O25" s="104">
        <f t="shared" si="0"/>
        <v>0</v>
      </c>
      <c r="P25" s="104">
        <f t="shared" si="0"/>
        <v>6485.0499999999993</v>
      </c>
    </row>
    <row r="26" spans="1:28" s="95" customFormat="1" x14ac:dyDescent="0.25">
      <c r="J26" s="74"/>
      <c r="K26" s="74"/>
      <c r="L26" s="74"/>
      <c r="M26" s="74"/>
      <c r="N26" s="74"/>
      <c r="O26" s="74"/>
      <c r="P26" s="74"/>
    </row>
    <row r="27" spans="1:28" s="95" customFormat="1" x14ac:dyDescent="0.25">
      <c r="J27" s="74"/>
      <c r="K27" s="74"/>
      <c r="L27" s="74"/>
      <c r="M27" s="74"/>
      <c r="N27" s="74"/>
      <c r="O27" s="74"/>
      <c r="P27" s="74"/>
    </row>
    <row r="28" spans="1:28" x14ac:dyDescent="0.25">
      <c r="A28" s="96" t="s">
        <v>9</v>
      </c>
      <c r="B28" s="96" t="s">
        <v>9</v>
      </c>
      <c r="C28" s="96" t="s">
        <v>9</v>
      </c>
      <c r="D28" s="96" t="s">
        <v>9</v>
      </c>
      <c r="E28" s="96" t="s">
        <v>9</v>
      </c>
      <c r="F28" s="96" t="s">
        <v>9</v>
      </c>
      <c r="G28" s="96" t="s">
        <v>9</v>
      </c>
      <c r="H28" s="96" t="s">
        <v>9</v>
      </c>
      <c r="I28" s="96" t="s">
        <v>9</v>
      </c>
      <c r="J28" s="101" t="s">
        <v>9</v>
      </c>
      <c r="K28" s="101" t="s">
        <v>9</v>
      </c>
      <c r="L28" s="101" t="s">
        <v>9</v>
      </c>
      <c r="M28" s="101" t="s">
        <v>9</v>
      </c>
      <c r="N28" s="101" t="s">
        <v>9</v>
      </c>
      <c r="O28" s="101" t="s">
        <v>9</v>
      </c>
      <c r="P28" s="101" t="s">
        <v>9</v>
      </c>
      <c r="Q28" s="96" t="s">
        <v>9</v>
      </c>
      <c r="R28" s="96" t="s">
        <v>9</v>
      </c>
      <c r="S28" s="96" t="s">
        <v>9</v>
      </c>
      <c r="T28" s="96" t="s">
        <v>9</v>
      </c>
      <c r="U28" s="96" t="s">
        <v>9</v>
      </c>
      <c r="V28" s="96" t="s">
        <v>9</v>
      </c>
      <c r="W28" s="96" t="s">
        <v>9</v>
      </c>
      <c r="X28" s="96" t="s">
        <v>9</v>
      </c>
      <c r="Y28" s="96" t="s">
        <v>9</v>
      </c>
      <c r="Z28" s="96" t="s">
        <v>9</v>
      </c>
      <c r="AA28" s="96" t="s">
        <v>9</v>
      </c>
      <c r="AB28" s="96" t="s">
        <v>9</v>
      </c>
    </row>
    <row r="29" spans="1:28" x14ac:dyDescent="0.25">
      <c r="A29" s="95" t="s">
        <v>319</v>
      </c>
      <c r="B29" s="95" t="s">
        <v>153</v>
      </c>
      <c r="C29" s="95" t="s">
        <v>172</v>
      </c>
      <c r="D29" s="95" t="s">
        <v>152</v>
      </c>
      <c r="E29" s="95" t="s">
        <v>197</v>
      </c>
      <c r="F29" s="95" t="s">
        <v>175</v>
      </c>
      <c r="G29" s="95" t="s">
        <v>176</v>
      </c>
      <c r="H29" s="95" t="s">
        <v>320</v>
      </c>
      <c r="I29" s="95" t="s">
        <v>321</v>
      </c>
      <c r="J29" s="74">
        <v>178.4</v>
      </c>
      <c r="K29" s="74">
        <v>0</v>
      </c>
      <c r="L29" s="74">
        <v>28.54</v>
      </c>
      <c r="M29" s="74" t="s">
        <v>179</v>
      </c>
      <c r="N29" s="74">
        <v>0</v>
      </c>
      <c r="O29" s="74"/>
      <c r="P29" s="74">
        <v>206.94</v>
      </c>
      <c r="Q29" s="95" t="s">
        <v>322</v>
      </c>
      <c r="R29" s="95" t="s">
        <v>181</v>
      </c>
      <c r="S29" s="95" t="s">
        <v>201</v>
      </c>
      <c r="T29" s="95" t="s">
        <v>183</v>
      </c>
      <c r="U29" s="95"/>
      <c r="V29" s="95" t="s">
        <v>184</v>
      </c>
      <c r="W29" s="95" t="s">
        <v>185</v>
      </c>
      <c r="X29" s="95" t="s">
        <v>186</v>
      </c>
      <c r="Y29" s="95"/>
      <c r="Z29" s="95"/>
      <c r="AA29" s="95" t="s">
        <v>323</v>
      </c>
      <c r="AB29" s="95">
        <v>28.54</v>
      </c>
    </row>
    <row r="30" spans="1:28" x14ac:dyDescent="0.25">
      <c r="A30" s="95" t="s">
        <v>324</v>
      </c>
      <c r="B30" s="95" t="s">
        <v>153</v>
      </c>
      <c r="C30" s="95" t="s">
        <v>172</v>
      </c>
      <c r="D30" s="95" t="s">
        <v>325</v>
      </c>
      <c r="E30" s="95" t="s">
        <v>326</v>
      </c>
      <c r="F30" s="95" t="s">
        <v>175</v>
      </c>
      <c r="G30" s="95" t="s">
        <v>176</v>
      </c>
      <c r="H30" s="95" t="s">
        <v>327</v>
      </c>
      <c r="I30" s="95" t="s">
        <v>328</v>
      </c>
      <c r="J30" s="74">
        <v>18.100000000000001</v>
      </c>
      <c r="K30" s="74">
        <v>0</v>
      </c>
      <c r="L30" s="74">
        <v>2.9</v>
      </c>
      <c r="M30" s="74" t="s">
        <v>179</v>
      </c>
      <c r="N30" s="74">
        <v>0</v>
      </c>
      <c r="O30" s="74"/>
      <c r="P30" s="74">
        <v>21</v>
      </c>
      <c r="Q30" s="95" t="s">
        <v>329</v>
      </c>
      <c r="R30" s="95" t="s">
        <v>181</v>
      </c>
      <c r="S30" s="95" t="s">
        <v>216</v>
      </c>
      <c r="T30" s="95" t="s">
        <v>183</v>
      </c>
      <c r="U30" s="95"/>
      <c r="V30" s="95" t="s">
        <v>184</v>
      </c>
      <c r="W30" s="95" t="s">
        <v>185</v>
      </c>
      <c r="X30" s="95" t="s">
        <v>186</v>
      </c>
      <c r="Y30" s="95"/>
      <c r="Z30" s="95"/>
      <c r="AA30" s="95" t="s">
        <v>195</v>
      </c>
      <c r="AB30" s="95">
        <v>2.9</v>
      </c>
    </row>
    <row r="31" spans="1:28" x14ac:dyDescent="0.25">
      <c r="A31" s="95" t="s">
        <v>330</v>
      </c>
      <c r="B31" s="95" t="s">
        <v>153</v>
      </c>
      <c r="C31" s="95" t="s">
        <v>172</v>
      </c>
      <c r="D31" s="95" t="s">
        <v>152</v>
      </c>
      <c r="E31" s="95" t="s">
        <v>197</v>
      </c>
      <c r="F31" s="95" t="s">
        <v>175</v>
      </c>
      <c r="G31" s="95" t="s">
        <v>176</v>
      </c>
      <c r="H31" s="95" t="s">
        <v>331</v>
      </c>
      <c r="I31" s="95" t="s">
        <v>332</v>
      </c>
      <c r="J31" s="74">
        <v>175.65</v>
      </c>
      <c r="K31" s="74">
        <v>0</v>
      </c>
      <c r="L31" s="74">
        <v>28.1</v>
      </c>
      <c r="M31" s="74" t="s">
        <v>179</v>
      </c>
      <c r="N31" s="74">
        <v>0</v>
      </c>
      <c r="O31" s="74"/>
      <c r="P31" s="74">
        <v>203.75</v>
      </c>
      <c r="Q31" s="95" t="s">
        <v>333</v>
      </c>
      <c r="R31" s="95" t="s">
        <v>181</v>
      </c>
      <c r="S31" s="95" t="s">
        <v>201</v>
      </c>
      <c r="T31" s="95" t="s">
        <v>183</v>
      </c>
      <c r="U31" s="95"/>
      <c r="V31" s="95" t="s">
        <v>184</v>
      </c>
      <c r="W31" s="95" t="s">
        <v>185</v>
      </c>
      <c r="X31" s="95" t="s">
        <v>186</v>
      </c>
      <c r="Y31" s="95"/>
      <c r="Z31" s="95"/>
      <c r="AA31" s="95" t="s">
        <v>334</v>
      </c>
      <c r="AB31" s="95">
        <v>28.1</v>
      </c>
    </row>
    <row r="32" spans="1:28" x14ac:dyDescent="0.25">
      <c r="A32" s="95" t="s">
        <v>335</v>
      </c>
      <c r="B32" s="95" t="s">
        <v>153</v>
      </c>
      <c r="C32" s="95" t="s">
        <v>172</v>
      </c>
      <c r="D32" s="95" t="s">
        <v>336</v>
      </c>
      <c r="E32" s="95" t="s">
        <v>337</v>
      </c>
      <c r="F32" s="95" t="s">
        <v>175</v>
      </c>
      <c r="G32" s="95" t="s">
        <v>176</v>
      </c>
      <c r="H32" s="95" t="s">
        <v>338</v>
      </c>
      <c r="I32" s="95" t="s">
        <v>339</v>
      </c>
      <c r="J32" s="74">
        <v>25</v>
      </c>
      <c r="K32" s="74">
        <v>0</v>
      </c>
      <c r="L32" s="74">
        <v>4</v>
      </c>
      <c r="M32" s="74" t="s">
        <v>179</v>
      </c>
      <c r="N32" s="74">
        <v>0</v>
      </c>
      <c r="O32" s="74"/>
      <c r="P32" s="74">
        <v>29</v>
      </c>
      <c r="Q32" s="95" t="s">
        <v>340</v>
      </c>
      <c r="R32" s="95" t="s">
        <v>181</v>
      </c>
      <c r="S32" s="95" t="s">
        <v>182</v>
      </c>
      <c r="T32" s="95" t="s">
        <v>183</v>
      </c>
      <c r="U32" s="95"/>
      <c r="V32" s="95" t="s">
        <v>184</v>
      </c>
      <c r="W32" s="95" t="s">
        <v>185</v>
      </c>
      <c r="X32" s="95" t="s">
        <v>186</v>
      </c>
      <c r="Y32" s="95"/>
      <c r="Z32" s="95"/>
      <c r="AA32" s="95" t="s">
        <v>187</v>
      </c>
      <c r="AB32" s="95">
        <v>4</v>
      </c>
    </row>
    <row r="33" spans="1:28" x14ac:dyDescent="0.25">
      <c r="A33" s="95" t="s">
        <v>341</v>
      </c>
      <c r="B33" s="95" t="s">
        <v>153</v>
      </c>
      <c r="C33" s="95" t="s">
        <v>172</v>
      </c>
      <c r="D33" s="95" t="s">
        <v>342</v>
      </c>
      <c r="E33" s="95" t="s">
        <v>343</v>
      </c>
      <c r="F33" s="95" t="s">
        <v>175</v>
      </c>
      <c r="G33" s="95" t="s">
        <v>176</v>
      </c>
      <c r="H33" s="95" t="s">
        <v>344</v>
      </c>
      <c r="I33" s="95" t="s">
        <v>345</v>
      </c>
      <c r="J33" s="74">
        <v>25</v>
      </c>
      <c r="K33" s="74">
        <v>0</v>
      </c>
      <c r="L33" s="74">
        <v>4</v>
      </c>
      <c r="M33" s="74" t="s">
        <v>179</v>
      </c>
      <c r="N33" s="74">
        <v>0</v>
      </c>
      <c r="O33" s="74"/>
      <c r="P33" s="74">
        <v>29</v>
      </c>
      <c r="Q33" s="95" t="s">
        <v>346</v>
      </c>
      <c r="R33" s="95" t="s">
        <v>181</v>
      </c>
      <c r="S33" s="95" t="s">
        <v>182</v>
      </c>
      <c r="T33" s="95" t="s">
        <v>183</v>
      </c>
      <c r="U33" s="95"/>
      <c r="V33" s="95" t="s">
        <v>184</v>
      </c>
      <c r="W33" s="95" t="s">
        <v>185</v>
      </c>
      <c r="X33" s="95" t="s">
        <v>186</v>
      </c>
      <c r="Y33" s="95"/>
      <c r="Z33" s="95"/>
      <c r="AA33" s="95" t="s">
        <v>187</v>
      </c>
      <c r="AB33" s="95">
        <v>4</v>
      </c>
    </row>
    <row r="34" spans="1:28" x14ac:dyDescent="0.25">
      <c r="A34" s="95" t="s">
        <v>347</v>
      </c>
      <c r="B34" s="95" t="s">
        <v>153</v>
      </c>
      <c r="C34" s="95" t="s">
        <v>172</v>
      </c>
      <c r="D34" s="95" t="s">
        <v>152</v>
      </c>
      <c r="E34" s="95" t="s">
        <v>197</v>
      </c>
      <c r="F34" s="95" t="s">
        <v>175</v>
      </c>
      <c r="G34" s="95" t="s">
        <v>176</v>
      </c>
      <c r="H34" s="95" t="s">
        <v>348</v>
      </c>
      <c r="I34" s="95" t="s">
        <v>349</v>
      </c>
      <c r="J34" s="74">
        <v>210.79</v>
      </c>
      <c r="K34" s="74">
        <v>0</v>
      </c>
      <c r="L34" s="74">
        <v>33.729999999999997</v>
      </c>
      <c r="M34" s="74" t="s">
        <v>179</v>
      </c>
      <c r="N34" s="74">
        <v>0</v>
      </c>
      <c r="O34" s="74"/>
      <c r="P34" s="74">
        <v>244.52</v>
      </c>
      <c r="Q34" s="95" t="s">
        <v>350</v>
      </c>
      <c r="R34" s="95" t="s">
        <v>181</v>
      </c>
      <c r="S34" s="95" t="s">
        <v>201</v>
      </c>
      <c r="T34" s="95" t="s">
        <v>183</v>
      </c>
      <c r="U34" s="95"/>
      <c r="V34" s="95" t="s">
        <v>184</v>
      </c>
      <c r="W34" s="95" t="s">
        <v>185</v>
      </c>
      <c r="X34" s="95" t="s">
        <v>186</v>
      </c>
      <c r="Y34" s="95"/>
      <c r="Z34" s="95"/>
      <c r="AA34" s="95" t="s">
        <v>351</v>
      </c>
      <c r="AB34" s="95">
        <v>33.729999999999997</v>
      </c>
    </row>
    <row r="35" spans="1:28" x14ac:dyDescent="0.25">
      <c r="A35" s="95" t="s">
        <v>352</v>
      </c>
      <c r="B35" s="95" t="s">
        <v>153</v>
      </c>
      <c r="C35" s="95" t="s">
        <v>172</v>
      </c>
      <c r="D35" s="95" t="s">
        <v>353</v>
      </c>
      <c r="E35" s="95" t="s">
        <v>354</v>
      </c>
      <c r="F35" s="95" t="s">
        <v>175</v>
      </c>
      <c r="G35" s="95" t="s">
        <v>176</v>
      </c>
      <c r="H35" s="95" t="s">
        <v>355</v>
      </c>
      <c r="I35" s="95" t="s">
        <v>356</v>
      </c>
      <c r="J35" s="74">
        <v>33.619999999999997</v>
      </c>
      <c r="K35" s="74">
        <v>0</v>
      </c>
      <c r="L35" s="74">
        <v>5.38</v>
      </c>
      <c r="M35" s="74" t="s">
        <v>179</v>
      </c>
      <c r="N35" s="74">
        <v>0</v>
      </c>
      <c r="O35" s="74"/>
      <c r="P35" s="74">
        <v>39</v>
      </c>
      <c r="Q35" s="95" t="s">
        <v>357</v>
      </c>
      <c r="R35" s="95" t="s">
        <v>181</v>
      </c>
      <c r="S35" s="95" t="s">
        <v>182</v>
      </c>
      <c r="T35" s="95" t="s">
        <v>183</v>
      </c>
      <c r="U35" s="95"/>
      <c r="V35" s="95" t="s">
        <v>184</v>
      </c>
      <c r="W35" s="95" t="s">
        <v>185</v>
      </c>
      <c r="X35" s="95" t="s">
        <v>186</v>
      </c>
      <c r="Y35" s="95"/>
      <c r="Z35" s="95"/>
      <c r="AA35" s="95" t="s">
        <v>358</v>
      </c>
      <c r="AB35" s="95">
        <v>5.38</v>
      </c>
    </row>
    <row r="36" spans="1:28" x14ac:dyDescent="0.25">
      <c r="A36" s="95" t="s">
        <v>359</v>
      </c>
      <c r="B36" s="95" t="s">
        <v>153</v>
      </c>
      <c r="C36" s="95" t="s">
        <v>172</v>
      </c>
      <c r="D36" s="95" t="s">
        <v>360</v>
      </c>
      <c r="E36" s="95" t="s">
        <v>361</v>
      </c>
      <c r="F36" s="95" t="s">
        <v>175</v>
      </c>
      <c r="G36" s="95" t="s">
        <v>176</v>
      </c>
      <c r="H36" s="95" t="s">
        <v>362</v>
      </c>
      <c r="I36" s="95" t="s">
        <v>363</v>
      </c>
      <c r="J36" s="74">
        <v>30.17</v>
      </c>
      <c r="K36" s="74">
        <v>0</v>
      </c>
      <c r="L36" s="74">
        <v>4.83</v>
      </c>
      <c r="M36" s="74" t="s">
        <v>179</v>
      </c>
      <c r="N36" s="74">
        <v>0</v>
      </c>
      <c r="O36" s="74"/>
      <c r="P36" s="74">
        <v>35</v>
      </c>
      <c r="Q36" s="95" t="s">
        <v>364</v>
      </c>
      <c r="R36" s="95" t="s">
        <v>181</v>
      </c>
      <c r="S36" s="95" t="s">
        <v>182</v>
      </c>
      <c r="T36" s="95" t="s">
        <v>183</v>
      </c>
      <c r="U36" s="95"/>
      <c r="V36" s="95" t="s">
        <v>184</v>
      </c>
      <c r="W36" s="95" t="s">
        <v>185</v>
      </c>
      <c r="X36" s="95" t="s">
        <v>186</v>
      </c>
      <c r="Y36" s="95"/>
      <c r="Z36" s="95"/>
      <c r="AA36" s="95" t="s">
        <v>237</v>
      </c>
      <c r="AB36" s="95">
        <v>4.83</v>
      </c>
    </row>
    <row r="37" spans="1:28" x14ac:dyDescent="0.25">
      <c r="A37" s="95" t="s">
        <v>365</v>
      </c>
      <c r="B37" s="95" t="s">
        <v>153</v>
      </c>
      <c r="C37" s="95" t="s">
        <v>172</v>
      </c>
      <c r="D37" s="95" t="s">
        <v>366</v>
      </c>
      <c r="E37" s="95" t="s">
        <v>367</v>
      </c>
      <c r="F37" s="95" t="s">
        <v>175</v>
      </c>
      <c r="G37" s="95" t="s">
        <v>176</v>
      </c>
      <c r="H37" s="95" t="s">
        <v>368</v>
      </c>
      <c r="I37" s="95" t="s">
        <v>369</v>
      </c>
      <c r="J37" s="74">
        <v>25</v>
      </c>
      <c r="K37" s="74">
        <v>0</v>
      </c>
      <c r="L37" s="74">
        <v>4</v>
      </c>
      <c r="M37" s="74" t="s">
        <v>179</v>
      </c>
      <c r="N37" s="74">
        <v>0</v>
      </c>
      <c r="O37" s="74"/>
      <c r="P37" s="74">
        <v>29</v>
      </c>
      <c r="Q37" s="95" t="s">
        <v>370</v>
      </c>
      <c r="R37" s="95" t="s">
        <v>181</v>
      </c>
      <c r="S37" s="95" t="s">
        <v>182</v>
      </c>
      <c r="T37" s="95" t="s">
        <v>183</v>
      </c>
      <c r="U37" s="95"/>
      <c r="V37" s="95" t="s">
        <v>184</v>
      </c>
      <c r="W37" s="95" t="s">
        <v>185</v>
      </c>
      <c r="X37" s="95" t="s">
        <v>186</v>
      </c>
      <c r="Y37" s="95"/>
      <c r="Z37" s="95"/>
      <c r="AA37" s="95" t="s">
        <v>187</v>
      </c>
      <c r="AB37" s="95">
        <v>4</v>
      </c>
    </row>
    <row r="38" spans="1:28" x14ac:dyDescent="0.25">
      <c r="A38" s="95" t="s">
        <v>371</v>
      </c>
      <c r="B38" s="95" t="s">
        <v>153</v>
      </c>
      <c r="C38" s="95" t="s">
        <v>172</v>
      </c>
      <c r="D38" s="95" t="s">
        <v>372</v>
      </c>
      <c r="E38" s="95" t="s">
        <v>373</v>
      </c>
      <c r="F38" s="95" t="s">
        <v>175</v>
      </c>
      <c r="G38" s="95" t="s">
        <v>176</v>
      </c>
      <c r="H38" s="95" t="s">
        <v>374</v>
      </c>
      <c r="I38" s="95" t="s">
        <v>375</v>
      </c>
      <c r="J38" s="74">
        <v>30.17</v>
      </c>
      <c r="K38" s="74">
        <v>0</v>
      </c>
      <c r="L38" s="74">
        <v>4.83</v>
      </c>
      <c r="M38" s="74" t="s">
        <v>179</v>
      </c>
      <c r="N38" s="74">
        <v>0</v>
      </c>
      <c r="O38" s="74"/>
      <c r="P38" s="74">
        <v>35</v>
      </c>
      <c r="Q38" s="95" t="s">
        <v>376</v>
      </c>
      <c r="R38" s="95" t="s">
        <v>181</v>
      </c>
      <c r="S38" s="95" t="s">
        <v>194</v>
      </c>
      <c r="T38" s="95" t="s">
        <v>183</v>
      </c>
      <c r="U38" s="95"/>
      <c r="V38" s="95" t="s">
        <v>184</v>
      </c>
      <c r="W38" s="95" t="s">
        <v>185</v>
      </c>
      <c r="X38" s="95" t="s">
        <v>186</v>
      </c>
      <c r="Y38" s="95"/>
      <c r="Z38" s="95"/>
      <c r="AA38" s="95" t="s">
        <v>237</v>
      </c>
      <c r="AB38" s="95">
        <v>4.83</v>
      </c>
    </row>
    <row r="39" spans="1:28" x14ac:dyDescent="0.25">
      <c r="A39" s="95" t="s">
        <v>377</v>
      </c>
      <c r="B39" s="95" t="s">
        <v>153</v>
      </c>
      <c r="C39" s="95" t="s">
        <v>172</v>
      </c>
      <c r="D39" s="95" t="s">
        <v>152</v>
      </c>
      <c r="E39" s="95" t="s">
        <v>197</v>
      </c>
      <c r="F39" s="95" t="s">
        <v>175</v>
      </c>
      <c r="G39" s="95" t="s">
        <v>176</v>
      </c>
      <c r="H39" s="95" t="s">
        <v>378</v>
      </c>
      <c r="I39" s="95" t="s">
        <v>379</v>
      </c>
      <c r="J39" s="74">
        <v>117.24</v>
      </c>
      <c r="K39" s="74">
        <v>0</v>
      </c>
      <c r="L39" s="74">
        <v>18.760000000000002</v>
      </c>
      <c r="M39" s="74" t="s">
        <v>179</v>
      </c>
      <c r="N39" s="74">
        <v>0</v>
      </c>
      <c r="O39" s="74"/>
      <c r="P39" s="74">
        <v>136</v>
      </c>
      <c r="Q39" s="95" t="s">
        <v>380</v>
      </c>
      <c r="R39" s="95" t="s">
        <v>181</v>
      </c>
      <c r="S39" s="95" t="s">
        <v>201</v>
      </c>
      <c r="T39" s="95" t="s">
        <v>183</v>
      </c>
      <c r="U39" s="95"/>
      <c r="V39" s="95" t="s">
        <v>184</v>
      </c>
      <c r="W39" s="95" t="s">
        <v>185</v>
      </c>
      <c r="X39" s="95" t="s">
        <v>186</v>
      </c>
      <c r="Y39" s="95"/>
      <c r="Z39" s="95"/>
      <c r="AA39" s="95" t="s">
        <v>381</v>
      </c>
      <c r="AB39" s="95">
        <v>18.760000000000002</v>
      </c>
    </row>
    <row r="40" spans="1:28" x14ac:dyDescent="0.25">
      <c r="A40" s="95" t="s">
        <v>382</v>
      </c>
      <c r="B40" s="95" t="s">
        <v>153</v>
      </c>
      <c r="C40" s="95" t="s">
        <v>172</v>
      </c>
      <c r="D40" s="95" t="s">
        <v>152</v>
      </c>
      <c r="E40" s="95" t="s">
        <v>197</v>
      </c>
      <c r="F40" s="95" t="s">
        <v>175</v>
      </c>
      <c r="G40" s="95" t="s">
        <v>176</v>
      </c>
      <c r="H40" s="95" t="s">
        <v>383</v>
      </c>
      <c r="I40" s="95" t="s">
        <v>384</v>
      </c>
      <c r="J40" s="74">
        <v>261.05</v>
      </c>
      <c r="K40" s="74">
        <v>0</v>
      </c>
      <c r="L40" s="74">
        <v>41.77</v>
      </c>
      <c r="M40" s="74" t="s">
        <v>179</v>
      </c>
      <c r="N40" s="74">
        <v>0</v>
      </c>
      <c r="O40" s="74"/>
      <c r="P40" s="74">
        <v>302.82</v>
      </c>
      <c r="Q40" s="95" t="s">
        <v>385</v>
      </c>
      <c r="R40" s="95" t="s">
        <v>181</v>
      </c>
      <c r="S40" s="95" t="s">
        <v>201</v>
      </c>
      <c r="T40" s="95" t="s">
        <v>183</v>
      </c>
      <c r="U40" s="95"/>
      <c r="V40" s="95" t="s">
        <v>184</v>
      </c>
      <c r="W40" s="95" t="s">
        <v>185</v>
      </c>
      <c r="X40" s="95" t="s">
        <v>186</v>
      </c>
      <c r="Y40" s="95"/>
      <c r="Z40" s="95"/>
      <c r="AA40" s="95" t="s">
        <v>386</v>
      </c>
      <c r="AB40" s="95">
        <v>41.77</v>
      </c>
    </row>
    <row r="41" spans="1:28" x14ac:dyDescent="0.25">
      <c r="A41" s="95" t="s">
        <v>387</v>
      </c>
      <c r="B41" s="95" t="s">
        <v>153</v>
      </c>
      <c r="C41" s="95" t="s">
        <v>172</v>
      </c>
      <c r="D41" s="95" t="s">
        <v>388</v>
      </c>
      <c r="E41" s="95" t="s">
        <v>389</v>
      </c>
      <c r="F41" s="95" t="s">
        <v>175</v>
      </c>
      <c r="G41" s="95" t="s">
        <v>176</v>
      </c>
      <c r="H41" s="95" t="s">
        <v>390</v>
      </c>
      <c r="I41" s="95" t="s">
        <v>391</v>
      </c>
      <c r="J41" s="74">
        <v>16.38</v>
      </c>
      <c r="K41" s="74">
        <v>0</v>
      </c>
      <c r="L41" s="74">
        <v>2.62</v>
      </c>
      <c r="M41" s="74" t="s">
        <v>179</v>
      </c>
      <c r="N41" s="74">
        <v>0</v>
      </c>
      <c r="O41" s="74"/>
      <c r="P41" s="74">
        <v>19</v>
      </c>
      <c r="Q41" s="95" t="s">
        <v>392</v>
      </c>
      <c r="R41" s="95" t="s">
        <v>181</v>
      </c>
      <c r="S41" s="95" t="s">
        <v>182</v>
      </c>
      <c r="T41" s="95" t="s">
        <v>183</v>
      </c>
      <c r="U41" s="95"/>
      <c r="V41" s="95" t="s">
        <v>184</v>
      </c>
      <c r="W41" s="95" t="s">
        <v>185</v>
      </c>
      <c r="X41" s="95" t="s">
        <v>186</v>
      </c>
      <c r="Y41" s="95"/>
      <c r="Z41" s="95"/>
      <c r="AA41" s="95" t="s">
        <v>286</v>
      </c>
      <c r="AB41" s="95">
        <v>2.62</v>
      </c>
    </row>
    <row r="42" spans="1:28" s="95" customFormat="1" x14ac:dyDescent="0.25">
      <c r="B42" s="99" t="s">
        <v>153</v>
      </c>
      <c r="C42" s="99" t="s">
        <v>172</v>
      </c>
      <c r="D42" s="99" t="s">
        <v>417</v>
      </c>
      <c r="E42" s="99" t="s">
        <v>418</v>
      </c>
      <c r="F42" s="99" t="s">
        <v>175</v>
      </c>
      <c r="G42" s="99" t="s">
        <v>176</v>
      </c>
      <c r="H42" s="99" t="s">
        <v>419</v>
      </c>
      <c r="I42" s="99" t="s">
        <v>420</v>
      </c>
      <c r="J42" s="102">
        <v>3780.27</v>
      </c>
      <c r="K42" s="102">
        <v>0</v>
      </c>
      <c r="L42" s="102">
        <v>604.84</v>
      </c>
      <c r="M42" s="102" t="s">
        <v>179</v>
      </c>
      <c r="N42" s="102">
        <v>0</v>
      </c>
      <c r="O42" s="102"/>
      <c r="P42" s="102">
        <v>4385.1099999999997</v>
      </c>
    </row>
    <row r="43" spans="1:28" s="95" customFormat="1" x14ac:dyDescent="0.25">
      <c r="J43" s="104">
        <f>SUM(J29:J42)</f>
        <v>4926.84</v>
      </c>
      <c r="K43" s="104">
        <f t="shared" ref="K43:P43" si="1">SUM(K29:K42)</f>
        <v>0</v>
      </c>
      <c r="L43" s="104">
        <f t="shared" si="1"/>
        <v>788.3</v>
      </c>
      <c r="M43" s="104">
        <f t="shared" si="1"/>
        <v>0</v>
      </c>
      <c r="N43" s="104">
        <f t="shared" si="1"/>
        <v>0</v>
      </c>
      <c r="O43" s="104">
        <f t="shared" si="1"/>
        <v>0</v>
      </c>
      <c r="P43" s="104">
        <f t="shared" si="1"/>
        <v>5715.1399999999994</v>
      </c>
    </row>
    <row r="44" spans="1:28" s="95" customFormat="1" x14ac:dyDescent="0.25">
      <c r="J44" s="74"/>
      <c r="K44" s="74"/>
      <c r="L44" s="74"/>
      <c r="M44" s="74"/>
      <c r="N44" s="74"/>
      <c r="O44" s="74"/>
      <c r="P44" s="74"/>
    </row>
    <row r="45" spans="1:28" s="95" customFormat="1" x14ac:dyDescent="0.25">
      <c r="J45" s="74"/>
      <c r="K45" s="74"/>
      <c r="L45" s="74"/>
      <c r="M45" s="74"/>
      <c r="N45" s="74"/>
      <c r="O45" s="74"/>
      <c r="P45" s="74"/>
    </row>
    <row r="46" spans="1:28" s="95" customFormat="1" x14ac:dyDescent="0.25">
      <c r="J46" s="74"/>
      <c r="K46" s="74"/>
      <c r="L46" s="74"/>
      <c r="M46" s="74"/>
      <c r="N46" s="74"/>
      <c r="O46" s="74"/>
      <c r="P46" s="74"/>
    </row>
    <row r="47" spans="1:28" x14ac:dyDescent="0.25">
      <c r="A47" s="96" t="s">
        <v>10</v>
      </c>
      <c r="B47" s="96" t="s">
        <v>10</v>
      </c>
      <c r="C47" s="96" t="s">
        <v>10</v>
      </c>
      <c r="D47" s="96" t="s">
        <v>10</v>
      </c>
      <c r="E47" s="96" t="s">
        <v>10</v>
      </c>
      <c r="F47" s="96" t="s">
        <v>10</v>
      </c>
      <c r="G47" s="96" t="s">
        <v>10</v>
      </c>
      <c r="H47" s="96" t="s">
        <v>10</v>
      </c>
      <c r="I47" s="96" t="s">
        <v>10</v>
      </c>
      <c r="J47" s="101" t="s">
        <v>10</v>
      </c>
      <c r="K47" s="101" t="s">
        <v>10</v>
      </c>
      <c r="L47" s="101" t="s">
        <v>10</v>
      </c>
      <c r="M47" s="101" t="s">
        <v>10</v>
      </c>
      <c r="N47" s="101" t="s">
        <v>10</v>
      </c>
      <c r="O47" s="101" t="s">
        <v>10</v>
      </c>
      <c r="P47" s="101" t="s">
        <v>10</v>
      </c>
      <c r="Q47" s="96" t="s">
        <v>10</v>
      </c>
      <c r="R47" s="96" t="s">
        <v>10</v>
      </c>
      <c r="S47" s="96" t="s">
        <v>10</v>
      </c>
      <c r="T47" s="96" t="s">
        <v>10</v>
      </c>
      <c r="U47" s="96" t="s">
        <v>10</v>
      </c>
      <c r="V47" s="96" t="s">
        <v>10</v>
      </c>
      <c r="W47" s="96" t="s">
        <v>10</v>
      </c>
      <c r="X47" s="96" t="s">
        <v>10</v>
      </c>
      <c r="Y47" s="96" t="s">
        <v>10</v>
      </c>
      <c r="Z47" s="96" t="s">
        <v>10</v>
      </c>
      <c r="AA47" s="96" t="s">
        <v>10</v>
      </c>
      <c r="AB47" s="96" t="s">
        <v>10</v>
      </c>
    </row>
    <row r="48" spans="1:28" x14ac:dyDescent="0.25">
      <c r="A48" s="95" t="s">
        <v>393</v>
      </c>
      <c r="B48" s="95" t="s">
        <v>153</v>
      </c>
      <c r="C48" s="95" t="s">
        <v>172</v>
      </c>
      <c r="D48" s="95" t="s">
        <v>394</v>
      </c>
      <c r="E48" s="95" t="s">
        <v>395</v>
      </c>
      <c r="F48" s="95" t="s">
        <v>175</v>
      </c>
      <c r="G48" s="95" t="s">
        <v>176</v>
      </c>
      <c r="H48" s="95" t="s">
        <v>396</v>
      </c>
      <c r="I48" s="95" t="s">
        <v>397</v>
      </c>
      <c r="J48" s="74">
        <v>28.45</v>
      </c>
      <c r="K48" s="74">
        <v>0</v>
      </c>
      <c r="L48" s="74">
        <v>4.55</v>
      </c>
      <c r="M48" s="74" t="s">
        <v>179</v>
      </c>
      <c r="N48" s="74">
        <v>0</v>
      </c>
      <c r="O48" s="74"/>
      <c r="P48" s="74">
        <v>33</v>
      </c>
      <c r="Q48" s="95" t="s">
        <v>398</v>
      </c>
      <c r="R48" s="95" t="s">
        <v>181</v>
      </c>
      <c r="S48" s="95" t="s">
        <v>182</v>
      </c>
      <c r="T48" s="95" t="s">
        <v>183</v>
      </c>
      <c r="U48" s="95"/>
      <c r="V48" s="95" t="s">
        <v>184</v>
      </c>
      <c r="W48" s="95" t="s">
        <v>185</v>
      </c>
      <c r="X48" s="95" t="s">
        <v>186</v>
      </c>
      <c r="Y48" s="95"/>
      <c r="Z48" s="95"/>
      <c r="AA48" s="95" t="s">
        <v>399</v>
      </c>
      <c r="AB48" s="95">
        <v>4.55</v>
      </c>
    </row>
    <row r="49" spans="1:28" x14ac:dyDescent="0.25">
      <c r="A49" s="95" t="s">
        <v>400</v>
      </c>
      <c r="B49" s="95" t="s">
        <v>153</v>
      </c>
      <c r="C49" s="95" t="s">
        <v>172</v>
      </c>
      <c r="D49" s="95" t="s">
        <v>152</v>
      </c>
      <c r="E49" s="95" t="s">
        <v>197</v>
      </c>
      <c r="F49" s="95" t="s">
        <v>175</v>
      </c>
      <c r="G49" s="95" t="s">
        <v>176</v>
      </c>
      <c r="H49" s="95" t="s">
        <v>401</v>
      </c>
      <c r="I49" s="95" t="s">
        <v>402</v>
      </c>
      <c r="J49" s="74">
        <v>88.49</v>
      </c>
      <c r="K49" s="74">
        <v>0</v>
      </c>
      <c r="L49" s="74">
        <v>14.16</v>
      </c>
      <c r="M49" s="74" t="s">
        <v>179</v>
      </c>
      <c r="N49" s="74">
        <v>0</v>
      </c>
      <c r="O49" s="74"/>
      <c r="P49" s="74">
        <v>102.65</v>
      </c>
      <c r="Q49" s="95" t="s">
        <v>403</v>
      </c>
      <c r="R49" s="95" t="s">
        <v>181</v>
      </c>
      <c r="S49" s="95" t="s">
        <v>201</v>
      </c>
      <c r="T49" s="95" t="s">
        <v>183</v>
      </c>
      <c r="U49" s="95"/>
      <c r="V49" s="95" t="s">
        <v>184</v>
      </c>
      <c r="W49" s="95" t="s">
        <v>185</v>
      </c>
      <c r="X49" s="95" t="s">
        <v>186</v>
      </c>
      <c r="Y49" s="95"/>
      <c r="Z49" s="95"/>
      <c r="AA49" s="95" t="s">
        <v>404</v>
      </c>
      <c r="AB49" s="95">
        <v>14.16</v>
      </c>
    </row>
    <row r="50" spans="1:28" x14ac:dyDescent="0.25">
      <c r="A50" s="95" t="s">
        <v>405</v>
      </c>
      <c r="B50" s="95" t="s">
        <v>153</v>
      </c>
      <c r="C50" s="95" t="s">
        <v>172</v>
      </c>
      <c r="D50" s="95" t="s">
        <v>406</v>
      </c>
      <c r="E50" s="95" t="s">
        <v>407</v>
      </c>
      <c r="F50" s="95" t="s">
        <v>175</v>
      </c>
      <c r="G50" s="95" t="s">
        <v>176</v>
      </c>
      <c r="H50" s="95" t="s">
        <v>408</v>
      </c>
      <c r="I50" s="95" t="s">
        <v>409</v>
      </c>
      <c r="J50" s="74">
        <v>25</v>
      </c>
      <c r="K50" s="74">
        <v>0</v>
      </c>
      <c r="L50" s="74">
        <v>4</v>
      </c>
      <c r="M50" s="74" t="s">
        <v>179</v>
      </c>
      <c r="N50" s="74">
        <v>0</v>
      </c>
      <c r="O50" s="74"/>
      <c r="P50" s="74">
        <v>29</v>
      </c>
      <c r="Q50" s="95" t="s">
        <v>410</v>
      </c>
      <c r="R50" s="95" t="s">
        <v>181</v>
      </c>
      <c r="S50" s="95" t="s">
        <v>216</v>
      </c>
      <c r="T50" s="95" t="s">
        <v>183</v>
      </c>
      <c r="U50" s="95"/>
      <c r="V50" s="95" t="s">
        <v>184</v>
      </c>
      <c r="W50" s="95" t="s">
        <v>185</v>
      </c>
      <c r="X50" s="95" t="s">
        <v>186</v>
      </c>
      <c r="Y50" s="95"/>
      <c r="Z50" s="95"/>
      <c r="AA50" s="95" t="s">
        <v>187</v>
      </c>
      <c r="AB50" s="95">
        <v>4</v>
      </c>
    </row>
    <row r="51" spans="1:28" x14ac:dyDescent="0.25">
      <c r="A51" s="95" t="s">
        <v>411</v>
      </c>
      <c r="B51" s="95" t="s">
        <v>153</v>
      </c>
      <c r="C51" s="95" t="s">
        <v>172</v>
      </c>
      <c r="D51" s="95" t="s">
        <v>412</v>
      </c>
      <c r="E51" s="95" t="s">
        <v>413</v>
      </c>
      <c r="F51" s="95" t="s">
        <v>175</v>
      </c>
      <c r="G51" s="95" t="s">
        <v>176</v>
      </c>
      <c r="H51" s="95" t="s">
        <v>414</v>
      </c>
      <c r="I51" s="95" t="s">
        <v>415</v>
      </c>
      <c r="J51" s="74">
        <v>25</v>
      </c>
      <c r="K51" s="74">
        <v>0</v>
      </c>
      <c r="L51" s="74">
        <v>4</v>
      </c>
      <c r="M51" s="74" t="s">
        <v>179</v>
      </c>
      <c r="N51" s="74">
        <v>0</v>
      </c>
      <c r="O51" s="74"/>
      <c r="P51" s="74">
        <v>29</v>
      </c>
      <c r="Q51" s="95" t="s">
        <v>416</v>
      </c>
      <c r="R51" s="95" t="s">
        <v>181</v>
      </c>
      <c r="S51" s="95" t="s">
        <v>182</v>
      </c>
      <c r="T51" s="95" t="s">
        <v>183</v>
      </c>
      <c r="U51" s="95"/>
      <c r="V51" s="95" t="s">
        <v>184</v>
      </c>
      <c r="W51" s="95" t="s">
        <v>185</v>
      </c>
      <c r="X51" s="95" t="s">
        <v>186</v>
      </c>
      <c r="Y51" s="95"/>
      <c r="Z51" s="95"/>
      <c r="AA51" s="95" t="s">
        <v>187</v>
      </c>
      <c r="AB51" s="95">
        <v>4</v>
      </c>
    </row>
    <row r="52" spans="1:28" x14ac:dyDescent="0.25">
      <c r="A52" s="95" t="s">
        <v>422</v>
      </c>
      <c r="B52" s="95" t="s">
        <v>153</v>
      </c>
      <c r="C52" s="95" t="s">
        <v>172</v>
      </c>
      <c r="D52" s="95" t="s">
        <v>423</v>
      </c>
      <c r="E52" s="95" t="s">
        <v>424</v>
      </c>
      <c r="F52" s="95" t="s">
        <v>175</v>
      </c>
      <c r="G52" s="95" t="s">
        <v>176</v>
      </c>
      <c r="H52" s="95" t="s">
        <v>425</v>
      </c>
      <c r="I52" s="95" t="s">
        <v>426</v>
      </c>
      <c r="J52" s="74">
        <v>16.38</v>
      </c>
      <c r="K52" s="74">
        <v>0</v>
      </c>
      <c r="L52" s="74">
        <v>2.62</v>
      </c>
      <c r="M52" s="74" t="s">
        <v>179</v>
      </c>
      <c r="N52" s="74">
        <v>0</v>
      </c>
      <c r="O52" s="74"/>
      <c r="P52" s="74">
        <v>19</v>
      </c>
      <c r="Q52" s="95" t="s">
        <v>427</v>
      </c>
      <c r="R52" s="95" t="s">
        <v>181</v>
      </c>
      <c r="S52" s="95" t="s">
        <v>182</v>
      </c>
      <c r="T52" s="95" t="s">
        <v>183</v>
      </c>
      <c r="U52" s="95"/>
      <c r="V52" s="95" t="s">
        <v>184</v>
      </c>
      <c r="W52" s="95" t="s">
        <v>185</v>
      </c>
      <c r="X52" s="95" t="s">
        <v>186</v>
      </c>
      <c r="Y52" s="95"/>
      <c r="Z52" s="95"/>
      <c r="AA52" s="95" t="s">
        <v>286</v>
      </c>
      <c r="AB52" s="95">
        <v>2.62</v>
      </c>
    </row>
    <row r="53" spans="1:28" x14ac:dyDescent="0.25">
      <c r="A53" s="95" t="s">
        <v>428</v>
      </c>
      <c r="B53" s="95" t="s">
        <v>153</v>
      </c>
      <c r="C53" s="95" t="s">
        <v>172</v>
      </c>
      <c r="D53" s="95" t="s">
        <v>152</v>
      </c>
      <c r="E53" s="95" t="s">
        <v>197</v>
      </c>
      <c r="F53" s="95" t="s">
        <v>175</v>
      </c>
      <c r="G53" s="95" t="s">
        <v>176</v>
      </c>
      <c r="H53" s="95" t="s">
        <v>429</v>
      </c>
      <c r="I53" s="95" t="s">
        <v>430</v>
      </c>
      <c r="J53" s="74">
        <v>164.92</v>
      </c>
      <c r="K53" s="74">
        <v>0</v>
      </c>
      <c r="L53" s="74">
        <v>26.39</v>
      </c>
      <c r="M53" s="74" t="s">
        <v>179</v>
      </c>
      <c r="N53" s="74">
        <v>0</v>
      </c>
      <c r="O53" s="74"/>
      <c r="P53" s="74">
        <v>191.31</v>
      </c>
      <c r="Q53" s="95" t="s">
        <v>431</v>
      </c>
      <c r="R53" s="95" t="s">
        <v>181</v>
      </c>
      <c r="S53" s="95" t="s">
        <v>201</v>
      </c>
      <c r="T53" s="95" t="s">
        <v>183</v>
      </c>
      <c r="U53" s="95"/>
      <c r="V53" s="95" t="s">
        <v>184</v>
      </c>
      <c r="W53" s="95" t="s">
        <v>185</v>
      </c>
      <c r="X53" s="95" t="s">
        <v>186</v>
      </c>
      <c r="Y53" s="95"/>
      <c r="Z53" s="95"/>
      <c r="AA53" s="95" t="s">
        <v>432</v>
      </c>
      <c r="AB53" s="95">
        <v>26.39</v>
      </c>
    </row>
    <row r="54" spans="1:28" x14ac:dyDescent="0.25">
      <c r="A54" s="95" t="s">
        <v>433</v>
      </c>
      <c r="B54" s="95" t="s">
        <v>153</v>
      </c>
      <c r="C54" s="95" t="s">
        <v>172</v>
      </c>
      <c r="D54" s="95" t="s">
        <v>152</v>
      </c>
      <c r="E54" s="95" t="s">
        <v>197</v>
      </c>
      <c r="F54" s="95" t="s">
        <v>175</v>
      </c>
      <c r="G54" s="95" t="s">
        <v>176</v>
      </c>
      <c r="H54" s="95" t="s">
        <v>434</v>
      </c>
      <c r="I54" s="95" t="s">
        <v>435</v>
      </c>
      <c r="J54" s="74">
        <v>250.3</v>
      </c>
      <c r="K54" s="74">
        <v>0</v>
      </c>
      <c r="L54" s="74">
        <v>40.049999999999997</v>
      </c>
      <c r="M54" s="74" t="s">
        <v>179</v>
      </c>
      <c r="N54" s="74">
        <v>0</v>
      </c>
      <c r="O54" s="74"/>
      <c r="P54" s="74">
        <v>290.35000000000002</v>
      </c>
      <c r="Q54" s="95" t="s">
        <v>436</v>
      </c>
      <c r="R54" s="95" t="s">
        <v>181</v>
      </c>
      <c r="S54" s="95" t="s">
        <v>201</v>
      </c>
      <c r="T54" s="95" t="s">
        <v>183</v>
      </c>
      <c r="U54" s="95"/>
      <c r="V54" s="95" t="s">
        <v>184</v>
      </c>
      <c r="W54" s="95" t="s">
        <v>185</v>
      </c>
      <c r="X54" s="95" t="s">
        <v>186</v>
      </c>
      <c r="Y54" s="95"/>
      <c r="Z54" s="95"/>
      <c r="AA54" s="95" t="s">
        <v>437</v>
      </c>
      <c r="AB54" s="95">
        <v>40.049999999999997</v>
      </c>
    </row>
    <row r="55" spans="1:28" x14ac:dyDescent="0.25">
      <c r="A55" s="95" t="s">
        <v>438</v>
      </c>
      <c r="B55" s="95" t="s">
        <v>153</v>
      </c>
      <c r="C55" s="95" t="s">
        <v>172</v>
      </c>
      <c r="D55" s="95" t="s">
        <v>439</v>
      </c>
      <c r="E55" s="95" t="s">
        <v>440</v>
      </c>
      <c r="F55" s="95" t="s">
        <v>175</v>
      </c>
      <c r="G55" s="95" t="s">
        <v>176</v>
      </c>
      <c r="H55" s="95" t="s">
        <v>441</v>
      </c>
      <c r="I55" s="95" t="s">
        <v>442</v>
      </c>
      <c r="J55" s="74">
        <v>21.55</v>
      </c>
      <c r="K55" s="74">
        <v>0</v>
      </c>
      <c r="L55" s="74">
        <v>3.45</v>
      </c>
      <c r="M55" s="74" t="s">
        <v>179</v>
      </c>
      <c r="N55" s="74">
        <v>0</v>
      </c>
      <c r="O55" s="74"/>
      <c r="P55" s="74">
        <v>25</v>
      </c>
      <c r="Q55" s="95" t="s">
        <v>443</v>
      </c>
      <c r="R55" s="95" t="s">
        <v>181</v>
      </c>
      <c r="S55" s="95" t="s">
        <v>182</v>
      </c>
      <c r="T55" s="95" t="s">
        <v>183</v>
      </c>
      <c r="U55" s="95"/>
      <c r="V55" s="95" t="s">
        <v>184</v>
      </c>
      <c r="W55" s="95" t="s">
        <v>185</v>
      </c>
      <c r="X55" s="95" t="s">
        <v>186</v>
      </c>
      <c r="Y55" s="95"/>
      <c r="Z55" s="95"/>
      <c r="AA55" s="95" t="s">
        <v>251</v>
      </c>
      <c r="AB55" s="95">
        <v>3.45</v>
      </c>
    </row>
    <row r="56" spans="1:28" x14ac:dyDescent="0.25">
      <c r="A56" s="95" t="s">
        <v>444</v>
      </c>
      <c r="B56" s="95" t="s">
        <v>153</v>
      </c>
      <c r="C56" s="95" t="s">
        <v>172</v>
      </c>
      <c r="D56" s="95" t="s">
        <v>445</v>
      </c>
      <c r="E56" s="95" t="s">
        <v>446</v>
      </c>
      <c r="F56" s="95" t="s">
        <v>175</v>
      </c>
      <c r="G56" s="95" t="s">
        <v>176</v>
      </c>
      <c r="H56" s="95" t="s">
        <v>447</v>
      </c>
      <c r="I56" s="95" t="s">
        <v>448</v>
      </c>
      <c r="J56" s="74">
        <v>26.72</v>
      </c>
      <c r="K56" s="74">
        <v>0</v>
      </c>
      <c r="L56" s="74">
        <v>4.28</v>
      </c>
      <c r="M56" s="74" t="s">
        <v>179</v>
      </c>
      <c r="N56" s="74">
        <v>0</v>
      </c>
      <c r="O56" s="74"/>
      <c r="P56" s="74">
        <v>31</v>
      </c>
      <c r="Q56" s="95" t="s">
        <v>449</v>
      </c>
      <c r="R56" s="95" t="s">
        <v>181</v>
      </c>
      <c r="S56" s="95" t="s">
        <v>194</v>
      </c>
      <c r="T56" s="95" t="s">
        <v>183</v>
      </c>
      <c r="U56" s="95"/>
      <c r="V56" s="95" t="s">
        <v>184</v>
      </c>
      <c r="W56" s="95" t="s">
        <v>185</v>
      </c>
      <c r="X56" s="95" t="s">
        <v>186</v>
      </c>
      <c r="Y56" s="95"/>
      <c r="Z56" s="95"/>
      <c r="AA56" s="95" t="s">
        <v>217</v>
      </c>
      <c r="AB56" s="95">
        <v>4.28</v>
      </c>
    </row>
    <row r="57" spans="1:28" x14ac:dyDescent="0.25">
      <c r="A57" s="95" t="s">
        <v>450</v>
      </c>
      <c r="B57" s="95" t="s">
        <v>153</v>
      </c>
      <c r="C57" s="95" t="s">
        <v>172</v>
      </c>
      <c r="D57" s="95" t="s">
        <v>451</v>
      </c>
      <c r="E57" s="95" t="s">
        <v>452</v>
      </c>
      <c r="F57" s="95" t="s">
        <v>175</v>
      </c>
      <c r="G57" s="95" t="s">
        <v>176</v>
      </c>
      <c r="H57" s="95" t="s">
        <v>453</v>
      </c>
      <c r="I57" s="95" t="s">
        <v>454</v>
      </c>
      <c r="J57" s="74">
        <v>12.93</v>
      </c>
      <c r="K57" s="74">
        <v>0</v>
      </c>
      <c r="L57" s="74">
        <v>2.0699999999999998</v>
      </c>
      <c r="M57" s="74" t="s">
        <v>179</v>
      </c>
      <c r="N57" s="74">
        <v>0</v>
      </c>
      <c r="O57" s="74"/>
      <c r="P57" s="74">
        <v>15</v>
      </c>
      <c r="Q57" s="95" t="s">
        <v>455</v>
      </c>
      <c r="R57" s="95" t="s">
        <v>181</v>
      </c>
      <c r="S57" s="95" t="s">
        <v>182</v>
      </c>
      <c r="T57" s="95" t="s">
        <v>183</v>
      </c>
      <c r="U57" s="95"/>
      <c r="V57" s="95" t="s">
        <v>184</v>
      </c>
      <c r="W57" s="95" t="s">
        <v>185</v>
      </c>
      <c r="X57" s="95" t="s">
        <v>186</v>
      </c>
      <c r="Y57" s="95"/>
      <c r="Z57" s="95"/>
      <c r="AA57" s="95" t="s">
        <v>456</v>
      </c>
      <c r="AB57" s="95">
        <v>2.0699999999999998</v>
      </c>
    </row>
    <row r="58" spans="1:28" x14ac:dyDescent="0.25">
      <c r="A58" s="95" t="s">
        <v>457</v>
      </c>
      <c r="B58" s="95" t="s">
        <v>153</v>
      </c>
      <c r="C58" s="95" t="s">
        <v>172</v>
      </c>
      <c r="D58" s="95" t="s">
        <v>152</v>
      </c>
      <c r="E58" s="95" t="s">
        <v>197</v>
      </c>
      <c r="F58" s="95" t="s">
        <v>175</v>
      </c>
      <c r="G58" s="95" t="s">
        <v>176</v>
      </c>
      <c r="H58" s="95" t="s">
        <v>458</v>
      </c>
      <c r="I58" s="95" t="s">
        <v>459</v>
      </c>
      <c r="J58" s="74">
        <v>283.16000000000003</v>
      </c>
      <c r="K58" s="74">
        <v>0</v>
      </c>
      <c r="L58" s="74">
        <v>45.3</v>
      </c>
      <c r="M58" s="74" t="s">
        <v>179</v>
      </c>
      <c r="N58" s="74">
        <v>0</v>
      </c>
      <c r="O58" s="74"/>
      <c r="P58" s="74">
        <v>328.46</v>
      </c>
      <c r="Q58" s="95" t="s">
        <v>460</v>
      </c>
      <c r="R58" s="95" t="s">
        <v>181</v>
      </c>
      <c r="S58" s="95" t="s">
        <v>201</v>
      </c>
      <c r="T58" s="95" t="s">
        <v>183</v>
      </c>
      <c r="U58" s="95"/>
      <c r="V58" s="95" t="s">
        <v>184</v>
      </c>
      <c r="W58" s="95" t="s">
        <v>185</v>
      </c>
      <c r="X58" s="95" t="s">
        <v>186</v>
      </c>
      <c r="Y58" s="95"/>
      <c r="Z58" s="95"/>
      <c r="AA58" s="95" t="s">
        <v>461</v>
      </c>
      <c r="AB58" s="95">
        <v>45.3</v>
      </c>
    </row>
    <row r="59" spans="1:28" x14ac:dyDescent="0.25">
      <c r="A59" s="95" t="s">
        <v>462</v>
      </c>
      <c r="B59" s="95" t="s">
        <v>153</v>
      </c>
      <c r="C59" s="95" t="s">
        <v>172</v>
      </c>
      <c r="D59" s="95" t="s">
        <v>463</v>
      </c>
      <c r="E59" s="95" t="s">
        <v>464</v>
      </c>
      <c r="F59" s="95" t="s">
        <v>175</v>
      </c>
      <c r="G59" s="95" t="s">
        <v>176</v>
      </c>
      <c r="H59" s="95" t="s">
        <v>465</v>
      </c>
      <c r="I59" s="95" t="s">
        <v>466</v>
      </c>
      <c r="J59" s="74">
        <v>25</v>
      </c>
      <c r="K59" s="74">
        <v>0</v>
      </c>
      <c r="L59" s="74">
        <v>4</v>
      </c>
      <c r="M59" s="74" t="s">
        <v>179</v>
      </c>
      <c r="N59" s="74">
        <v>0</v>
      </c>
      <c r="O59" s="74"/>
      <c r="P59" s="74">
        <v>29</v>
      </c>
      <c r="Q59" s="95" t="s">
        <v>467</v>
      </c>
      <c r="R59" s="95" t="s">
        <v>181</v>
      </c>
      <c r="S59" s="95" t="s">
        <v>182</v>
      </c>
      <c r="T59" s="95" t="s">
        <v>183</v>
      </c>
      <c r="U59" s="95"/>
      <c r="V59" s="95" t="s">
        <v>184</v>
      </c>
      <c r="W59" s="95" t="s">
        <v>185</v>
      </c>
      <c r="X59" s="95" t="s">
        <v>186</v>
      </c>
      <c r="Y59" s="95"/>
      <c r="Z59" s="95"/>
      <c r="AA59" s="95" t="s">
        <v>187</v>
      </c>
      <c r="AB59" s="95">
        <v>4</v>
      </c>
    </row>
    <row r="60" spans="1:28" x14ac:dyDescent="0.25">
      <c r="A60" s="95" t="s">
        <v>468</v>
      </c>
      <c r="B60" s="95" t="s">
        <v>153</v>
      </c>
      <c r="C60" s="95" t="s">
        <v>172</v>
      </c>
      <c r="D60" s="95" t="s">
        <v>152</v>
      </c>
      <c r="E60" s="95" t="s">
        <v>197</v>
      </c>
      <c r="F60" s="95" t="s">
        <v>175</v>
      </c>
      <c r="G60" s="95" t="s">
        <v>176</v>
      </c>
      <c r="H60" s="95" t="s">
        <v>469</v>
      </c>
      <c r="I60" s="95" t="s">
        <v>470</v>
      </c>
      <c r="J60" s="74">
        <v>324.8</v>
      </c>
      <c r="K60" s="74">
        <v>0</v>
      </c>
      <c r="L60" s="74">
        <v>51.97</v>
      </c>
      <c r="M60" s="74" t="s">
        <v>179</v>
      </c>
      <c r="N60" s="74">
        <v>0</v>
      </c>
      <c r="O60" s="74"/>
      <c r="P60" s="74">
        <v>376.77</v>
      </c>
      <c r="Q60" s="95" t="s">
        <v>471</v>
      </c>
      <c r="R60" s="95" t="s">
        <v>181</v>
      </c>
      <c r="S60" s="95" t="s">
        <v>201</v>
      </c>
      <c r="T60" s="95" t="s">
        <v>183</v>
      </c>
      <c r="U60" s="95"/>
      <c r="V60" s="95" t="s">
        <v>184</v>
      </c>
      <c r="W60" s="95" t="s">
        <v>185</v>
      </c>
      <c r="X60" s="95" t="s">
        <v>186</v>
      </c>
      <c r="Y60" s="95"/>
      <c r="Z60" s="95"/>
      <c r="AA60" s="95" t="s">
        <v>472</v>
      </c>
      <c r="AB60" s="95">
        <v>51.97</v>
      </c>
    </row>
    <row r="61" spans="1:28" s="95" customFormat="1" x14ac:dyDescent="0.25">
      <c r="B61" s="98" t="s">
        <v>153</v>
      </c>
      <c r="C61" s="98" t="s">
        <v>172</v>
      </c>
      <c r="D61" s="98" t="s">
        <v>417</v>
      </c>
      <c r="E61" s="98" t="s">
        <v>418</v>
      </c>
      <c r="F61" s="98" t="s">
        <v>175</v>
      </c>
      <c r="G61" s="98" t="s">
        <v>176</v>
      </c>
      <c r="H61" s="98" t="s">
        <v>558</v>
      </c>
      <c r="I61" s="98" t="s">
        <v>559</v>
      </c>
      <c r="J61" s="103">
        <v>2699.93</v>
      </c>
      <c r="K61" s="103">
        <v>0</v>
      </c>
      <c r="L61" s="103">
        <v>431.99</v>
      </c>
      <c r="M61" s="103" t="s">
        <v>179</v>
      </c>
      <c r="N61" s="103">
        <v>0</v>
      </c>
      <c r="O61" s="103"/>
      <c r="P61" s="103">
        <v>3131.92</v>
      </c>
    </row>
    <row r="62" spans="1:28" s="95" customFormat="1" x14ac:dyDescent="0.25">
      <c r="J62" s="104">
        <f>SUM(J48:J61)</f>
        <v>3992.6299999999997</v>
      </c>
      <c r="K62" s="104">
        <f t="shared" ref="K62:P62" si="2">SUM(K48:K61)</f>
        <v>0</v>
      </c>
      <c r="L62" s="104">
        <f t="shared" si="2"/>
        <v>638.83000000000004</v>
      </c>
      <c r="M62" s="104">
        <f t="shared" si="2"/>
        <v>0</v>
      </c>
      <c r="N62" s="104">
        <f t="shared" si="2"/>
        <v>0</v>
      </c>
      <c r="O62" s="104">
        <f t="shared" si="2"/>
        <v>0</v>
      </c>
      <c r="P62" s="104">
        <f t="shared" si="2"/>
        <v>4631.46</v>
      </c>
    </row>
    <row r="63" spans="1:28" s="95" customFormat="1" x14ac:dyDescent="0.25">
      <c r="J63" s="74"/>
      <c r="K63" s="74"/>
      <c r="L63" s="74"/>
      <c r="M63" s="74"/>
      <c r="N63" s="74"/>
      <c r="O63" s="74"/>
      <c r="P63" s="74"/>
    </row>
    <row r="64" spans="1:28" s="95" customFormat="1" x14ac:dyDescent="0.25">
      <c r="J64" s="74"/>
      <c r="K64" s="74"/>
      <c r="L64" s="74"/>
      <c r="M64" s="74"/>
      <c r="N64" s="74"/>
      <c r="O64" s="74"/>
      <c r="P64" s="74"/>
    </row>
    <row r="65" spans="1:28" s="95" customFormat="1" x14ac:dyDescent="0.25">
      <c r="J65" s="74"/>
      <c r="K65" s="74"/>
      <c r="L65" s="74"/>
      <c r="M65" s="74"/>
      <c r="N65" s="74"/>
      <c r="O65" s="74"/>
      <c r="P65" s="74"/>
    </row>
    <row r="66" spans="1:28" x14ac:dyDescent="0.25">
      <c r="A66" s="96" t="s">
        <v>11</v>
      </c>
      <c r="B66" s="96" t="s">
        <v>11</v>
      </c>
      <c r="C66" s="96" t="s">
        <v>11</v>
      </c>
      <c r="D66" s="96" t="s">
        <v>11</v>
      </c>
      <c r="E66" s="96" t="s">
        <v>11</v>
      </c>
      <c r="F66" s="96" t="s">
        <v>11</v>
      </c>
      <c r="G66" s="96" t="s">
        <v>11</v>
      </c>
      <c r="H66" s="96" t="s">
        <v>11</v>
      </c>
      <c r="I66" s="96" t="s">
        <v>11</v>
      </c>
      <c r="J66" s="101" t="s">
        <v>11</v>
      </c>
      <c r="K66" s="101" t="s">
        <v>11</v>
      </c>
      <c r="L66" s="101" t="s">
        <v>11</v>
      </c>
      <c r="M66" s="101" t="s">
        <v>11</v>
      </c>
      <c r="N66" s="101" t="s">
        <v>11</v>
      </c>
      <c r="O66" s="101" t="s">
        <v>11</v>
      </c>
      <c r="P66" s="101" t="s">
        <v>11</v>
      </c>
      <c r="Q66" s="96" t="s">
        <v>11</v>
      </c>
      <c r="R66" s="96" t="s">
        <v>11</v>
      </c>
      <c r="S66" s="96" t="s">
        <v>11</v>
      </c>
      <c r="T66" s="96" t="s">
        <v>11</v>
      </c>
      <c r="U66" s="96" t="s">
        <v>11</v>
      </c>
      <c r="V66" s="96" t="s">
        <v>11</v>
      </c>
      <c r="W66" s="96" t="s">
        <v>11</v>
      </c>
      <c r="X66" s="96" t="s">
        <v>11</v>
      </c>
      <c r="Y66" s="96" t="s">
        <v>11</v>
      </c>
      <c r="Z66" s="96" t="s">
        <v>11</v>
      </c>
      <c r="AA66" s="96" t="s">
        <v>11</v>
      </c>
      <c r="AB66" s="96" t="s">
        <v>11</v>
      </c>
    </row>
    <row r="67" spans="1:28" x14ac:dyDescent="0.25">
      <c r="A67" s="95" t="s">
        <v>473</v>
      </c>
      <c r="B67" s="95" t="s">
        <v>153</v>
      </c>
      <c r="C67" s="95" t="s">
        <v>172</v>
      </c>
      <c r="D67" s="95" t="s">
        <v>152</v>
      </c>
      <c r="E67" s="95" t="s">
        <v>197</v>
      </c>
      <c r="F67" s="95" t="s">
        <v>175</v>
      </c>
      <c r="G67" s="95" t="s">
        <v>176</v>
      </c>
      <c r="H67" s="95" t="s">
        <v>474</v>
      </c>
      <c r="I67" s="95" t="s">
        <v>475</v>
      </c>
      <c r="J67" s="74">
        <v>406.34</v>
      </c>
      <c r="K67" s="74">
        <v>0</v>
      </c>
      <c r="L67" s="74">
        <v>65.010000000000005</v>
      </c>
      <c r="M67" s="74" t="s">
        <v>179</v>
      </c>
      <c r="N67" s="74">
        <v>0</v>
      </c>
      <c r="O67" s="74"/>
      <c r="P67" s="74">
        <v>471.35</v>
      </c>
      <c r="Q67" s="95" t="s">
        <v>476</v>
      </c>
      <c r="R67" s="95" t="s">
        <v>181</v>
      </c>
      <c r="S67" s="95" t="s">
        <v>201</v>
      </c>
      <c r="T67" s="95" t="s">
        <v>183</v>
      </c>
      <c r="U67" s="95"/>
      <c r="V67" s="95" t="s">
        <v>184</v>
      </c>
      <c r="W67" s="95" t="s">
        <v>185</v>
      </c>
      <c r="X67" s="95" t="s">
        <v>186</v>
      </c>
      <c r="Y67" s="95"/>
      <c r="Z67" s="95"/>
      <c r="AA67" s="95" t="s">
        <v>477</v>
      </c>
      <c r="AB67" s="95">
        <v>65.010000000000005</v>
      </c>
    </row>
    <row r="68" spans="1:28" x14ac:dyDescent="0.25">
      <c r="A68" s="95" t="s">
        <v>478</v>
      </c>
      <c r="B68" s="95" t="s">
        <v>153</v>
      </c>
      <c r="C68" s="95" t="s">
        <v>172</v>
      </c>
      <c r="D68" s="95" t="s">
        <v>479</v>
      </c>
      <c r="E68" s="95" t="s">
        <v>480</v>
      </c>
      <c r="F68" s="95" t="s">
        <v>175</v>
      </c>
      <c r="G68" s="95" t="s">
        <v>176</v>
      </c>
      <c r="H68" s="95" t="s">
        <v>481</v>
      </c>
      <c r="I68" s="95" t="s">
        <v>482</v>
      </c>
      <c r="J68" s="74">
        <v>21.55</v>
      </c>
      <c r="K68" s="74">
        <v>0</v>
      </c>
      <c r="L68" s="74">
        <v>3.45</v>
      </c>
      <c r="M68" s="74" t="s">
        <v>179</v>
      </c>
      <c r="N68" s="74">
        <v>0</v>
      </c>
      <c r="O68" s="74"/>
      <c r="P68" s="74">
        <v>25</v>
      </c>
      <c r="Q68" s="95" t="s">
        <v>483</v>
      </c>
      <c r="R68" s="95" t="s">
        <v>181</v>
      </c>
      <c r="S68" s="95" t="s">
        <v>194</v>
      </c>
      <c r="T68" s="95" t="s">
        <v>183</v>
      </c>
      <c r="U68" s="95"/>
      <c r="V68" s="95" t="s">
        <v>184</v>
      </c>
      <c r="W68" s="95" t="s">
        <v>185</v>
      </c>
      <c r="X68" s="95" t="s">
        <v>186</v>
      </c>
      <c r="Y68" s="95"/>
      <c r="Z68" s="95"/>
      <c r="AA68" s="95" t="s">
        <v>251</v>
      </c>
      <c r="AB68" s="95">
        <v>3.45</v>
      </c>
    </row>
    <row r="69" spans="1:28" x14ac:dyDescent="0.25">
      <c r="A69" s="95" t="s">
        <v>484</v>
      </c>
      <c r="B69" s="95" t="s">
        <v>153</v>
      </c>
      <c r="C69" s="95" t="s">
        <v>172</v>
      </c>
      <c r="D69" s="95" t="s">
        <v>485</v>
      </c>
      <c r="E69" s="95" t="s">
        <v>486</v>
      </c>
      <c r="F69" s="95" t="s">
        <v>175</v>
      </c>
      <c r="G69" s="95" t="s">
        <v>176</v>
      </c>
      <c r="H69" s="95" t="s">
        <v>487</v>
      </c>
      <c r="I69" s="95" t="s">
        <v>488</v>
      </c>
      <c r="J69" s="74">
        <v>16.38</v>
      </c>
      <c r="K69" s="74">
        <v>0</v>
      </c>
      <c r="L69" s="74">
        <v>2.62</v>
      </c>
      <c r="M69" s="74" t="s">
        <v>179</v>
      </c>
      <c r="N69" s="74">
        <v>0</v>
      </c>
      <c r="O69" s="74"/>
      <c r="P69" s="74">
        <v>19</v>
      </c>
      <c r="Q69" s="95" t="s">
        <v>489</v>
      </c>
      <c r="R69" s="95" t="s">
        <v>181</v>
      </c>
      <c r="S69" s="95" t="s">
        <v>182</v>
      </c>
      <c r="T69" s="95" t="s">
        <v>183</v>
      </c>
      <c r="U69" s="95"/>
      <c r="V69" s="95" t="s">
        <v>184</v>
      </c>
      <c r="W69" s="95" t="s">
        <v>185</v>
      </c>
      <c r="X69" s="95" t="s">
        <v>186</v>
      </c>
      <c r="Y69" s="95"/>
      <c r="Z69" s="95"/>
      <c r="AA69" s="95" t="s">
        <v>286</v>
      </c>
      <c r="AB69" s="95">
        <v>2.62</v>
      </c>
    </row>
    <row r="70" spans="1:28" x14ac:dyDescent="0.25">
      <c r="A70" s="95" t="s">
        <v>490</v>
      </c>
      <c r="B70" s="95" t="s">
        <v>153</v>
      </c>
      <c r="C70" s="95" t="s">
        <v>172</v>
      </c>
      <c r="D70" s="95" t="s">
        <v>491</v>
      </c>
      <c r="E70" s="95" t="s">
        <v>492</v>
      </c>
      <c r="F70" s="95" t="s">
        <v>175</v>
      </c>
      <c r="G70" s="95" t="s">
        <v>176</v>
      </c>
      <c r="H70" s="95" t="s">
        <v>493</v>
      </c>
      <c r="I70" s="95" t="s">
        <v>494</v>
      </c>
      <c r="J70" s="74">
        <v>25.86</v>
      </c>
      <c r="K70" s="74">
        <v>0</v>
      </c>
      <c r="L70" s="74">
        <v>4.1399999999999997</v>
      </c>
      <c r="M70" s="74" t="s">
        <v>179</v>
      </c>
      <c r="N70" s="74">
        <v>0</v>
      </c>
      <c r="O70" s="74"/>
      <c r="P70" s="74">
        <v>30</v>
      </c>
      <c r="Q70" s="95" t="s">
        <v>495</v>
      </c>
      <c r="R70" s="95" t="s">
        <v>181</v>
      </c>
      <c r="S70" s="95" t="s">
        <v>182</v>
      </c>
      <c r="T70" s="95" t="s">
        <v>183</v>
      </c>
      <c r="U70" s="95"/>
      <c r="V70" s="95" t="s">
        <v>184</v>
      </c>
      <c r="W70" s="95" t="s">
        <v>185</v>
      </c>
      <c r="X70" s="95" t="s">
        <v>186</v>
      </c>
      <c r="Y70" s="95"/>
      <c r="Z70" s="95"/>
      <c r="AA70" s="95" t="s">
        <v>496</v>
      </c>
      <c r="AB70" s="95">
        <v>4.1399999999999997</v>
      </c>
    </row>
    <row r="71" spans="1:28" x14ac:dyDescent="0.25">
      <c r="A71" s="95" t="s">
        <v>497</v>
      </c>
      <c r="B71" s="95" t="s">
        <v>153</v>
      </c>
      <c r="C71" s="95" t="s">
        <v>172</v>
      </c>
      <c r="D71" s="95" t="s">
        <v>498</v>
      </c>
      <c r="E71" s="95" t="s">
        <v>499</v>
      </c>
      <c r="F71" s="95" t="s">
        <v>175</v>
      </c>
      <c r="G71" s="95" t="s">
        <v>176</v>
      </c>
      <c r="H71" s="95" t="s">
        <v>500</v>
      </c>
      <c r="I71" s="95" t="s">
        <v>501</v>
      </c>
      <c r="J71" s="74">
        <v>23.28</v>
      </c>
      <c r="K71" s="74">
        <v>0</v>
      </c>
      <c r="L71" s="74">
        <v>3.72</v>
      </c>
      <c r="M71" s="74" t="s">
        <v>179</v>
      </c>
      <c r="N71" s="74">
        <v>0</v>
      </c>
      <c r="O71" s="74"/>
      <c r="P71" s="74">
        <v>27</v>
      </c>
      <c r="Q71" s="95" t="s">
        <v>502</v>
      </c>
      <c r="R71" s="95" t="s">
        <v>181</v>
      </c>
      <c r="S71" s="95" t="s">
        <v>182</v>
      </c>
      <c r="T71" s="95" t="s">
        <v>183</v>
      </c>
      <c r="U71" s="95"/>
      <c r="V71" s="95" t="s">
        <v>184</v>
      </c>
      <c r="W71" s="95" t="s">
        <v>185</v>
      </c>
      <c r="X71" s="95" t="s">
        <v>186</v>
      </c>
      <c r="Y71" s="95"/>
      <c r="Z71" s="95"/>
      <c r="AA71" s="95" t="s">
        <v>224</v>
      </c>
      <c r="AB71" s="95">
        <v>3.72</v>
      </c>
    </row>
    <row r="72" spans="1:28" x14ac:dyDescent="0.25">
      <c r="A72" s="95" t="s">
        <v>503</v>
      </c>
      <c r="B72" s="95" t="s">
        <v>153</v>
      </c>
      <c r="C72" s="95" t="s">
        <v>172</v>
      </c>
      <c r="D72" s="95" t="s">
        <v>504</v>
      </c>
      <c r="E72" s="95" t="s">
        <v>505</v>
      </c>
      <c r="F72" s="95" t="s">
        <v>175</v>
      </c>
      <c r="G72" s="95" t="s">
        <v>176</v>
      </c>
      <c r="H72" s="95" t="s">
        <v>506</v>
      </c>
      <c r="I72" s="95" t="s">
        <v>507</v>
      </c>
      <c r="J72" s="74">
        <v>22.41</v>
      </c>
      <c r="K72" s="74">
        <v>0</v>
      </c>
      <c r="L72" s="74">
        <v>3.59</v>
      </c>
      <c r="M72" s="74" t="s">
        <v>179</v>
      </c>
      <c r="N72" s="74">
        <v>0</v>
      </c>
      <c r="O72" s="74"/>
      <c r="P72" s="74">
        <v>26</v>
      </c>
      <c r="Q72" s="95" t="s">
        <v>508</v>
      </c>
      <c r="R72" s="95" t="s">
        <v>181</v>
      </c>
      <c r="S72" s="95" t="s">
        <v>194</v>
      </c>
      <c r="T72" s="95" t="s">
        <v>183</v>
      </c>
      <c r="U72" s="95"/>
      <c r="V72" s="95" t="s">
        <v>184</v>
      </c>
      <c r="W72" s="95" t="s">
        <v>185</v>
      </c>
      <c r="X72" s="95" t="s">
        <v>186</v>
      </c>
      <c r="Y72" s="95"/>
      <c r="Z72" s="95"/>
      <c r="AA72" s="95" t="s">
        <v>509</v>
      </c>
      <c r="AB72" s="95">
        <v>3.59</v>
      </c>
    </row>
    <row r="73" spans="1:28" x14ac:dyDescent="0.25">
      <c r="A73" s="95" t="s">
        <v>510</v>
      </c>
      <c r="B73" s="95" t="s">
        <v>153</v>
      </c>
      <c r="C73" s="95" t="s">
        <v>172</v>
      </c>
      <c r="D73" s="95" t="s">
        <v>511</v>
      </c>
      <c r="E73" s="95" t="s">
        <v>512</v>
      </c>
      <c r="F73" s="95" t="s">
        <v>175</v>
      </c>
      <c r="G73" s="95" t="s">
        <v>176</v>
      </c>
      <c r="H73" s="95" t="s">
        <v>513</v>
      </c>
      <c r="I73" s="95" t="s">
        <v>514</v>
      </c>
      <c r="J73" s="74">
        <v>26.72</v>
      </c>
      <c r="K73" s="74">
        <v>0</v>
      </c>
      <c r="L73" s="74">
        <v>4.28</v>
      </c>
      <c r="M73" s="74" t="s">
        <v>179</v>
      </c>
      <c r="N73" s="74">
        <v>0</v>
      </c>
      <c r="O73" s="74"/>
      <c r="P73" s="74">
        <v>31</v>
      </c>
      <c r="Q73" s="95" t="s">
        <v>515</v>
      </c>
      <c r="R73" s="95" t="s">
        <v>181</v>
      </c>
      <c r="S73" s="95" t="s">
        <v>182</v>
      </c>
      <c r="T73" s="95" t="s">
        <v>183</v>
      </c>
      <c r="U73" s="95"/>
      <c r="V73" s="95" t="s">
        <v>184</v>
      </c>
      <c r="W73" s="95" t="s">
        <v>185</v>
      </c>
      <c r="X73" s="95" t="s">
        <v>186</v>
      </c>
      <c r="Y73" s="95"/>
      <c r="Z73" s="95"/>
      <c r="AA73" s="95" t="s">
        <v>217</v>
      </c>
      <c r="AB73" s="95">
        <v>4.28</v>
      </c>
    </row>
    <row r="74" spans="1:28" x14ac:dyDescent="0.25">
      <c r="A74" s="95" t="s">
        <v>516</v>
      </c>
      <c r="B74" s="95" t="s">
        <v>153</v>
      </c>
      <c r="C74" s="95" t="s">
        <v>172</v>
      </c>
      <c r="D74" s="95" t="s">
        <v>517</v>
      </c>
      <c r="E74" s="95" t="s">
        <v>518</v>
      </c>
      <c r="F74" s="95" t="s">
        <v>175</v>
      </c>
      <c r="G74" s="95" t="s">
        <v>176</v>
      </c>
      <c r="H74" s="95" t="s">
        <v>519</v>
      </c>
      <c r="I74" s="95" t="s">
        <v>520</v>
      </c>
      <c r="J74" s="74">
        <v>26.72</v>
      </c>
      <c r="K74" s="74">
        <v>0</v>
      </c>
      <c r="L74" s="74">
        <v>4.28</v>
      </c>
      <c r="M74" s="74" t="s">
        <v>179</v>
      </c>
      <c r="N74" s="74">
        <v>0</v>
      </c>
      <c r="O74" s="74"/>
      <c r="P74" s="74">
        <v>31</v>
      </c>
      <c r="Q74" s="95" t="s">
        <v>521</v>
      </c>
      <c r="R74" s="95" t="s">
        <v>181</v>
      </c>
      <c r="S74" s="95" t="s">
        <v>216</v>
      </c>
      <c r="T74" s="95" t="s">
        <v>183</v>
      </c>
      <c r="U74" s="95"/>
      <c r="V74" s="95" t="s">
        <v>184</v>
      </c>
      <c r="W74" s="95" t="s">
        <v>185</v>
      </c>
      <c r="X74" s="95" t="s">
        <v>186</v>
      </c>
      <c r="Y74" s="95"/>
      <c r="Z74" s="95"/>
      <c r="AA74" s="95" t="s">
        <v>217</v>
      </c>
      <c r="AB74" s="95">
        <v>4.28</v>
      </c>
    </row>
    <row r="75" spans="1:28" x14ac:dyDescent="0.25">
      <c r="A75" s="95" t="s">
        <v>522</v>
      </c>
      <c r="B75" s="95" t="s">
        <v>153</v>
      </c>
      <c r="C75" s="95" t="s">
        <v>172</v>
      </c>
      <c r="D75" s="95" t="s">
        <v>523</v>
      </c>
      <c r="E75" s="95" t="s">
        <v>524</v>
      </c>
      <c r="F75" s="95" t="s">
        <v>175</v>
      </c>
      <c r="G75" s="95" t="s">
        <v>176</v>
      </c>
      <c r="H75" s="95" t="s">
        <v>525</v>
      </c>
      <c r="I75" s="95" t="s">
        <v>526</v>
      </c>
      <c r="J75" s="74">
        <v>22.41</v>
      </c>
      <c r="K75" s="74">
        <v>0</v>
      </c>
      <c r="L75" s="74">
        <v>3.59</v>
      </c>
      <c r="M75" s="74" t="s">
        <v>179</v>
      </c>
      <c r="N75" s="74">
        <v>0</v>
      </c>
      <c r="O75" s="74"/>
      <c r="P75" s="74">
        <v>26</v>
      </c>
      <c r="Q75" s="95" t="s">
        <v>527</v>
      </c>
      <c r="R75" s="95" t="s">
        <v>181</v>
      </c>
      <c r="S75" s="95" t="s">
        <v>216</v>
      </c>
      <c r="T75" s="95" t="s">
        <v>183</v>
      </c>
      <c r="U75" s="95"/>
      <c r="V75" s="95" t="s">
        <v>184</v>
      </c>
      <c r="W75" s="95" t="s">
        <v>185</v>
      </c>
      <c r="X75" s="95" t="s">
        <v>186</v>
      </c>
      <c r="Y75" s="95"/>
      <c r="Z75" s="95"/>
      <c r="AA75" s="95" t="s">
        <v>509</v>
      </c>
      <c r="AB75" s="95">
        <v>3.59</v>
      </c>
    </row>
    <row r="76" spans="1:28" x14ac:dyDescent="0.25">
      <c r="A76" s="95" t="s">
        <v>528</v>
      </c>
      <c r="B76" s="95" t="s">
        <v>153</v>
      </c>
      <c r="C76" s="95" t="s">
        <v>172</v>
      </c>
      <c r="D76" s="95" t="s">
        <v>529</v>
      </c>
      <c r="E76" s="95" t="s">
        <v>530</v>
      </c>
      <c r="F76" s="95" t="s">
        <v>175</v>
      </c>
      <c r="G76" s="95" t="s">
        <v>176</v>
      </c>
      <c r="H76" s="95" t="s">
        <v>531</v>
      </c>
      <c r="I76" s="95" t="s">
        <v>532</v>
      </c>
      <c r="J76" s="74">
        <v>23.28</v>
      </c>
      <c r="K76" s="74">
        <v>0</v>
      </c>
      <c r="L76" s="74">
        <v>3.72</v>
      </c>
      <c r="M76" s="74" t="s">
        <v>179</v>
      </c>
      <c r="N76" s="74">
        <v>0</v>
      </c>
      <c r="O76" s="74"/>
      <c r="P76" s="74">
        <v>27</v>
      </c>
      <c r="Q76" s="95" t="s">
        <v>533</v>
      </c>
      <c r="R76" s="95" t="s">
        <v>181</v>
      </c>
      <c r="S76" s="95" t="s">
        <v>182</v>
      </c>
      <c r="T76" s="95" t="s">
        <v>183</v>
      </c>
      <c r="U76" s="95"/>
      <c r="V76" s="95" t="s">
        <v>184</v>
      </c>
      <c r="W76" s="95" t="s">
        <v>185</v>
      </c>
      <c r="X76" s="95" t="s">
        <v>186</v>
      </c>
      <c r="Y76" s="95"/>
      <c r="Z76" s="95"/>
      <c r="AA76" s="95" t="s">
        <v>224</v>
      </c>
      <c r="AB76" s="95">
        <v>3.72</v>
      </c>
    </row>
    <row r="77" spans="1:28" x14ac:dyDescent="0.25">
      <c r="A77" s="95" t="s">
        <v>534</v>
      </c>
      <c r="B77" s="95" t="s">
        <v>153</v>
      </c>
      <c r="C77" s="95" t="s">
        <v>172</v>
      </c>
      <c r="D77" s="95" t="s">
        <v>535</v>
      </c>
      <c r="E77" s="95" t="s">
        <v>536</v>
      </c>
      <c r="F77" s="95" t="s">
        <v>175</v>
      </c>
      <c r="G77" s="95" t="s">
        <v>176</v>
      </c>
      <c r="H77" s="95" t="s">
        <v>537</v>
      </c>
      <c r="I77" s="95" t="s">
        <v>538</v>
      </c>
      <c r="J77" s="74">
        <v>25</v>
      </c>
      <c r="K77" s="74">
        <v>0</v>
      </c>
      <c r="L77" s="74">
        <v>4</v>
      </c>
      <c r="M77" s="74" t="s">
        <v>179</v>
      </c>
      <c r="N77" s="74">
        <v>0</v>
      </c>
      <c r="O77" s="74"/>
      <c r="P77" s="74">
        <v>29</v>
      </c>
      <c r="Q77" s="95" t="s">
        <v>539</v>
      </c>
      <c r="R77" s="95" t="s">
        <v>181</v>
      </c>
      <c r="S77" s="95" t="s">
        <v>182</v>
      </c>
      <c r="T77" s="95" t="s">
        <v>183</v>
      </c>
      <c r="U77" s="95"/>
      <c r="V77" s="95" t="s">
        <v>184</v>
      </c>
      <c r="W77" s="95" t="s">
        <v>185</v>
      </c>
      <c r="X77" s="95" t="s">
        <v>186</v>
      </c>
      <c r="Y77" s="95"/>
      <c r="Z77" s="95"/>
      <c r="AA77" s="95" t="s">
        <v>187</v>
      </c>
      <c r="AB77" s="95">
        <v>4</v>
      </c>
    </row>
    <row r="78" spans="1:28" x14ac:dyDescent="0.25">
      <c r="A78" s="95" t="s">
        <v>540</v>
      </c>
      <c r="B78" s="95" t="s">
        <v>153</v>
      </c>
      <c r="C78" s="95" t="s">
        <v>172</v>
      </c>
      <c r="D78" s="95" t="s">
        <v>541</v>
      </c>
      <c r="E78" s="95" t="s">
        <v>542</v>
      </c>
      <c r="F78" s="95" t="s">
        <v>175</v>
      </c>
      <c r="G78" s="95" t="s">
        <v>176</v>
      </c>
      <c r="H78" s="95" t="s">
        <v>543</v>
      </c>
      <c r="I78" s="95" t="s">
        <v>544</v>
      </c>
      <c r="J78" s="74">
        <v>29.31</v>
      </c>
      <c r="K78" s="74">
        <v>0</v>
      </c>
      <c r="L78" s="74">
        <v>4.6900000000000004</v>
      </c>
      <c r="M78" s="74" t="s">
        <v>179</v>
      </c>
      <c r="N78" s="74">
        <v>0</v>
      </c>
      <c r="O78" s="74"/>
      <c r="P78" s="74">
        <v>34</v>
      </c>
      <c r="Q78" s="95" t="s">
        <v>545</v>
      </c>
      <c r="R78" s="95" t="s">
        <v>181</v>
      </c>
      <c r="S78" s="95" t="s">
        <v>194</v>
      </c>
      <c r="T78" s="95" t="s">
        <v>183</v>
      </c>
      <c r="U78" s="95"/>
      <c r="V78" s="95" t="s">
        <v>184</v>
      </c>
      <c r="W78" s="95" t="s">
        <v>185</v>
      </c>
      <c r="X78" s="95" t="s">
        <v>186</v>
      </c>
      <c r="Y78" s="95"/>
      <c r="Z78" s="95"/>
      <c r="AA78" s="95" t="s">
        <v>546</v>
      </c>
      <c r="AB78" s="95">
        <v>4.6900000000000004</v>
      </c>
    </row>
    <row r="79" spans="1:28" x14ac:dyDescent="0.25">
      <c r="A79" s="95" t="s">
        <v>547</v>
      </c>
      <c r="B79" s="95" t="s">
        <v>153</v>
      </c>
      <c r="C79" s="95" t="s">
        <v>172</v>
      </c>
      <c r="D79" s="95" t="s">
        <v>548</v>
      </c>
      <c r="E79" s="95" t="s">
        <v>549</v>
      </c>
      <c r="F79" s="95" t="s">
        <v>175</v>
      </c>
      <c r="G79" s="95" t="s">
        <v>176</v>
      </c>
      <c r="H79" s="95" t="s">
        <v>550</v>
      </c>
      <c r="I79" s="95" t="s">
        <v>551</v>
      </c>
      <c r="J79" s="74">
        <v>26.72</v>
      </c>
      <c r="K79" s="74">
        <v>0</v>
      </c>
      <c r="L79" s="74">
        <v>4.28</v>
      </c>
      <c r="M79" s="74" t="s">
        <v>179</v>
      </c>
      <c r="N79" s="74">
        <v>0</v>
      </c>
      <c r="O79" s="74"/>
      <c r="P79" s="74">
        <v>31</v>
      </c>
      <c r="Q79" s="95" t="s">
        <v>552</v>
      </c>
      <c r="R79" s="95" t="s">
        <v>181</v>
      </c>
      <c r="S79" s="95" t="s">
        <v>182</v>
      </c>
      <c r="T79" s="95" t="s">
        <v>183</v>
      </c>
      <c r="U79" s="95"/>
      <c r="V79" s="95" t="s">
        <v>184</v>
      </c>
      <c r="W79" s="95" t="s">
        <v>185</v>
      </c>
      <c r="X79" s="95" t="s">
        <v>186</v>
      </c>
      <c r="Y79" s="95"/>
      <c r="Z79" s="95"/>
      <c r="AA79" s="95" t="s">
        <v>217</v>
      </c>
      <c r="AB79" s="95">
        <v>4.28</v>
      </c>
    </row>
    <row r="80" spans="1:28" x14ac:dyDescent="0.25">
      <c r="A80" s="95" t="s">
        <v>553</v>
      </c>
      <c r="B80" s="95" t="s">
        <v>153</v>
      </c>
      <c r="C80" s="95" t="s">
        <v>172</v>
      </c>
      <c r="D80" s="95" t="s">
        <v>152</v>
      </c>
      <c r="E80" s="95" t="s">
        <v>197</v>
      </c>
      <c r="F80" s="95" t="s">
        <v>175</v>
      </c>
      <c r="G80" s="95" t="s">
        <v>176</v>
      </c>
      <c r="H80" s="95" t="s">
        <v>554</v>
      </c>
      <c r="I80" s="95" t="s">
        <v>555</v>
      </c>
      <c r="J80" s="74">
        <v>545.55999999999995</v>
      </c>
      <c r="K80" s="74">
        <v>0</v>
      </c>
      <c r="L80" s="74">
        <v>87.29</v>
      </c>
      <c r="M80" s="74" t="s">
        <v>179</v>
      </c>
      <c r="N80" s="74">
        <v>0</v>
      </c>
      <c r="O80" s="74"/>
      <c r="P80" s="74">
        <v>632.85</v>
      </c>
      <c r="Q80" s="95" t="s">
        <v>556</v>
      </c>
      <c r="R80" s="95" t="s">
        <v>181</v>
      </c>
      <c r="S80" s="95" t="s">
        <v>201</v>
      </c>
      <c r="T80" s="95" t="s">
        <v>183</v>
      </c>
      <c r="U80" s="95"/>
      <c r="V80" s="95" t="s">
        <v>184</v>
      </c>
      <c r="W80" s="95" t="s">
        <v>185</v>
      </c>
      <c r="X80" s="95" t="s">
        <v>186</v>
      </c>
      <c r="Y80" s="95"/>
      <c r="Z80" s="95"/>
      <c r="AA80" s="95" t="s">
        <v>557</v>
      </c>
      <c r="AB80" s="95">
        <v>87.29</v>
      </c>
    </row>
    <row r="81" spans="1:28" x14ac:dyDescent="0.25">
      <c r="A81" s="95" t="s">
        <v>560</v>
      </c>
      <c r="B81" s="95" t="s">
        <v>153</v>
      </c>
      <c r="C81" s="95" t="s">
        <v>172</v>
      </c>
      <c r="D81" s="95" t="s">
        <v>152</v>
      </c>
      <c r="E81" s="95" t="s">
        <v>197</v>
      </c>
      <c r="F81" s="95" t="s">
        <v>175</v>
      </c>
      <c r="G81" s="95" t="s">
        <v>176</v>
      </c>
      <c r="H81" s="95" t="s">
        <v>561</v>
      </c>
      <c r="I81" s="95" t="s">
        <v>562</v>
      </c>
      <c r="J81" s="74">
        <v>390.73</v>
      </c>
      <c r="K81" s="74">
        <v>0</v>
      </c>
      <c r="L81" s="74">
        <v>62.52</v>
      </c>
      <c r="M81" s="74" t="s">
        <v>179</v>
      </c>
      <c r="N81" s="74">
        <v>0</v>
      </c>
      <c r="O81" s="74"/>
      <c r="P81" s="74">
        <v>453.25</v>
      </c>
      <c r="Q81" s="95" t="s">
        <v>563</v>
      </c>
      <c r="R81" s="95" t="s">
        <v>181</v>
      </c>
      <c r="S81" s="95" t="s">
        <v>201</v>
      </c>
      <c r="T81" s="95" t="s">
        <v>183</v>
      </c>
      <c r="U81" s="95"/>
      <c r="V81" s="95" t="s">
        <v>184</v>
      </c>
      <c r="W81" s="95" t="s">
        <v>185</v>
      </c>
      <c r="X81" s="95" t="s">
        <v>186</v>
      </c>
      <c r="Y81" s="95"/>
      <c r="Z81" s="95"/>
      <c r="AA81" s="95" t="s">
        <v>564</v>
      </c>
      <c r="AB81" s="95">
        <v>62.52</v>
      </c>
    </row>
    <row r="82" spans="1:28" x14ac:dyDescent="0.25">
      <c r="A82" s="95" t="s">
        <v>565</v>
      </c>
      <c r="B82" s="95" t="s">
        <v>153</v>
      </c>
      <c r="C82" s="95" t="s">
        <v>172</v>
      </c>
      <c r="D82" s="95" t="s">
        <v>152</v>
      </c>
      <c r="E82" s="95" t="s">
        <v>197</v>
      </c>
      <c r="F82" s="95" t="s">
        <v>175</v>
      </c>
      <c r="G82" s="95" t="s">
        <v>176</v>
      </c>
      <c r="H82" s="95" t="s">
        <v>566</v>
      </c>
      <c r="I82" s="95" t="s">
        <v>567</v>
      </c>
      <c r="J82" s="74">
        <v>497.07</v>
      </c>
      <c r="K82" s="74">
        <v>0</v>
      </c>
      <c r="L82" s="74">
        <v>79.53</v>
      </c>
      <c r="M82" s="74" t="s">
        <v>179</v>
      </c>
      <c r="N82" s="74">
        <v>0</v>
      </c>
      <c r="O82" s="74"/>
      <c r="P82" s="74">
        <v>576.6</v>
      </c>
      <c r="Q82" s="95" t="s">
        <v>568</v>
      </c>
      <c r="R82" s="95" t="s">
        <v>181</v>
      </c>
      <c r="S82" s="95" t="s">
        <v>201</v>
      </c>
      <c r="T82" s="95" t="s">
        <v>183</v>
      </c>
      <c r="U82" s="95"/>
      <c r="V82" s="95" t="s">
        <v>184</v>
      </c>
      <c r="W82" s="95" t="s">
        <v>185</v>
      </c>
      <c r="X82" s="95" t="s">
        <v>186</v>
      </c>
      <c r="Y82" s="95"/>
      <c r="Z82" s="95"/>
      <c r="AA82" s="95" t="s">
        <v>569</v>
      </c>
      <c r="AB82" s="95">
        <v>79.53</v>
      </c>
    </row>
    <row r="83" spans="1:28" x14ac:dyDescent="0.25">
      <c r="A83" s="95" t="s">
        <v>570</v>
      </c>
      <c r="B83" s="95" t="s">
        <v>153</v>
      </c>
      <c r="C83" s="95" t="s">
        <v>172</v>
      </c>
      <c r="D83" s="95" t="s">
        <v>571</v>
      </c>
      <c r="E83" s="95" t="s">
        <v>572</v>
      </c>
      <c r="F83" s="95" t="s">
        <v>175</v>
      </c>
      <c r="G83" s="95" t="s">
        <v>176</v>
      </c>
      <c r="H83" s="95" t="s">
        <v>573</v>
      </c>
      <c r="I83" s="95" t="s">
        <v>574</v>
      </c>
      <c r="J83" s="74">
        <v>21.55</v>
      </c>
      <c r="K83" s="74">
        <v>0</v>
      </c>
      <c r="L83" s="74">
        <v>3.45</v>
      </c>
      <c r="M83" s="74" t="s">
        <v>179</v>
      </c>
      <c r="N83" s="74">
        <v>0</v>
      </c>
      <c r="O83" s="74"/>
      <c r="P83" s="74">
        <v>25</v>
      </c>
      <c r="Q83" s="95" t="s">
        <v>575</v>
      </c>
      <c r="R83" s="95" t="s">
        <v>181</v>
      </c>
      <c r="S83" s="95" t="s">
        <v>182</v>
      </c>
      <c r="T83" s="95" t="s">
        <v>183</v>
      </c>
      <c r="U83" s="95"/>
      <c r="V83" s="95" t="s">
        <v>184</v>
      </c>
      <c r="W83" s="95" t="s">
        <v>185</v>
      </c>
      <c r="X83" s="95" t="s">
        <v>186</v>
      </c>
      <c r="Y83" s="95"/>
      <c r="Z83" s="95"/>
      <c r="AA83" s="95" t="s">
        <v>251</v>
      </c>
      <c r="AB83" s="95">
        <v>3.45</v>
      </c>
    </row>
    <row r="84" spans="1:28" x14ac:dyDescent="0.25">
      <c r="B84" s="99" t="s">
        <v>153</v>
      </c>
      <c r="C84" s="99" t="s">
        <v>172</v>
      </c>
      <c r="D84" s="99" t="s">
        <v>417</v>
      </c>
      <c r="E84" s="99" t="s">
        <v>418</v>
      </c>
      <c r="F84" s="99" t="s">
        <v>175</v>
      </c>
      <c r="G84" s="99" t="s">
        <v>176</v>
      </c>
      <c r="H84" s="99" t="s">
        <v>558</v>
      </c>
      <c r="I84" s="99" t="s">
        <v>576</v>
      </c>
      <c r="J84" s="102">
        <f>P84/1.16</f>
        <v>1875.4224137931035</v>
      </c>
      <c r="K84" s="102">
        <v>0</v>
      </c>
      <c r="L84" s="102">
        <f>J84*0.16</f>
        <v>300.06758620689658</v>
      </c>
      <c r="M84" s="102" t="s">
        <v>179</v>
      </c>
      <c r="N84" s="102">
        <v>0</v>
      </c>
      <c r="O84" s="102"/>
      <c r="P84" s="105">
        <v>2175.4899999999998</v>
      </c>
    </row>
    <row r="85" spans="1:28" x14ac:dyDescent="0.25">
      <c r="J85" s="107">
        <f>SUM(J67:J84)</f>
        <v>4026.3124137931036</v>
      </c>
      <c r="K85" s="107">
        <f t="shared" ref="K85:P85" si="3">SUM(K67:K84)</f>
        <v>0</v>
      </c>
      <c r="L85" s="107">
        <f t="shared" si="3"/>
        <v>644.2275862068966</v>
      </c>
      <c r="M85" s="107">
        <f t="shared" si="3"/>
        <v>0</v>
      </c>
      <c r="N85" s="107">
        <f t="shared" si="3"/>
        <v>0</v>
      </c>
      <c r="O85" s="107">
        <f t="shared" si="3"/>
        <v>0</v>
      </c>
      <c r="P85" s="107">
        <f t="shared" si="3"/>
        <v>4670.54</v>
      </c>
    </row>
  </sheetData>
  <pageMargins left="0.7" right="0.7" top="0.75" bottom="0.75" header="0.3" footer="0.3"/>
  <pageSetup paperSize="9" orientation="portrait" r:id="rId1"/>
  <headerFooter>
    <oddHeader xml:space="preserve">&amp;C&amp;14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topLeftCell="D1" workbookViewId="0">
      <pane ySplit="1" topLeftCell="A2" activePane="bottomLeft" state="frozen"/>
      <selection pane="bottomLeft" activeCell="L15" sqref="L15"/>
    </sheetView>
  </sheetViews>
  <sheetFormatPr baseColWidth="10" defaultRowHeight="15" x14ac:dyDescent="0.25"/>
  <cols>
    <col min="1" max="1" width="13.5703125" hidden="1" customWidth="1"/>
    <col min="2" max="2" width="31.140625" bestFit="1" customWidth="1"/>
    <col min="3" max="3" width="22" customWidth="1"/>
    <col min="4" max="4" width="30" bestFit="1" customWidth="1"/>
    <col min="6" max="7" width="0" hidden="1" customWidth="1"/>
    <col min="8" max="8" width="11.140625" bestFit="1" customWidth="1"/>
    <col min="9" max="9" width="18.28515625" bestFit="1" customWidth="1"/>
    <col min="10" max="10" width="11.140625" bestFit="1" customWidth="1"/>
    <col min="11" max="11" width="0" hidden="1" customWidth="1"/>
    <col min="12" max="12" width="24.140625" bestFit="1" customWidth="1"/>
    <col min="13" max="13" width="16.140625" hidden="1" customWidth="1"/>
    <col min="14" max="15" width="0" hidden="1" customWidth="1"/>
    <col min="16" max="16" width="11.140625" bestFit="1" customWidth="1"/>
    <col min="17" max="29" width="0" hidden="1" customWidth="1"/>
  </cols>
  <sheetData>
    <row r="1" spans="1:29" x14ac:dyDescent="0.25">
      <c r="A1" s="3" t="s">
        <v>154</v>
      </c>
      <c r="B1" s="100" t="s">
        <v>140</v>
      </c>
      <c r="C1" s="100" t="s">
        <v>141</v>
      </c>
      <c r="D1" s="100" t="s">
        <v>142</v>
      </c>
      <c r="E1" s="100" t="s">
        <v>143</v>
      </c>
      <c r="F1" s="100" t="s">
        <v>144</v>
      </c>
      <c r="G1" s="100" t="s">
        <v>145</v>
      </c>
      <c r="H1" s="100" t="s">
        <v>146</v>
      </c>
      <c r="I1" s="100" t="s">
        <v>147</v>
      </c>
      <c r="J1" s="100" t="s">
        <v>148</v>
      </c>
      <c r="K1" s="100" t="s">
        <v>155</v>
      </c>
      <c r="L1" s="100" t="s">
        <v>156</v>
      </c>
      <c r="M1" s="100" t="s">
        <v>157</v>
      </c>
      <c r="N1" s="100" t="s">
        <v>158</v>
      </c>
      <c r="O1" s="100" t="s">
        <v>157</v>
      </c>
      <c r="P1" s="100" t="s">
        <v>149</v>
      </c>
      <c r="Q1" s="3" t="s">
        <v>159</v>
      </c>
      <c r="R1" s="3" t="s">
        <v>160</v>
      </c>
      <c r="S1" s="3" t="s">
        <v>161</v>
      </c>
      <c r="T1" s="3" t="s">
        <v>162</v>
      </c>
      <c r="U1" s="3" t="s">
        <v>163</v>
      </c>
      <c r="V1" s="3" t="s">
        <v>164</v>
      </c>
      <c r="W1" s="3" t="s">
        <v>165</v>
      </c>
      <c r="X1" s="3" t="s">
        <v>166</v>
      </c>
      <c r="Y1" s="3" t="s">
        <v>167</v>
      </c>
      <c r="Z1" s="3" t="s">
        <v>168</v>
      </c>
      <c r="AA1" s="3" t="s">
        <v>169</v>
      </c>
      <c r="AB1" s="3" t="s">
        <v>170</v>
      </c>
    </row>
    <row r="2" spans="1:29" s="95" customFormat="1" x14ac:dyDescent="0.25">
      <c r="A2" s="108" t="s">
        <v>8</v>
      </c>
      <c r="B2" s="108" t="s">
        <v>8</v>
      </c>
      <c r="C2" s="108" t="s">
        <v>8</v>
      </c>
      <c r="D2" s="108" t="s">
        <v>8</v>
      </c>
      <c r="E2" s="108" t="s">
        <v>8</v>
      </c>
      <c r="F2" s="108" t="s">
        <v>8</v>
      </c>
      <c r="G2" s="108" t="s">
        <v>8</v>
      </c>
      <c r="H2" s="108" t="s">
        <v>8</v>
      </c>
      <c r="I2" s="108" t="s">
        <v>8</v>
      </c>
      <c r="J2" s="108" t="s">
        <v>8</v>
      </c>
      <c r="K2" s="108" t="s">
        <v>8</v>
      </c>
      <c r="L2" s="108" t="s">
        <v>8</v>
      </c>
      <c r="M2" s="108" t="s">
        <v>8</v>
      </c>
      <c r="N2" s="108" t="s">
        <v>8</v>
      </c>
      <c r="O2" s="108" t="s">
        <v>8</v>
      </c>
      <c r="P2" s="108" t="s">
        <v>8</v>
      </c>
      <c r="Q2" s="108" t="s">
        <v>8</v>
      </c>
      <c r="R2" s="108" t="s">
        <v>8</v>
      </c>
      <c r="S2" s="108" t="s">
        <v>8</v>
      </c>
      <c r="T2" s="108" t="s">
        <v>8</v>
      </c>
      <c r="U2" s="108" t="s">
        <v>8</v>
      </c>
      <c r="V2" s="108" t="s">
        <v>8</v>
      </c>
      <c r="W2" s="108" t="s">
        <v>8</v>
      </c>
      <c r="X2" s="108" t="s">
        <v>8</v>
      </c>
      <c r="Y2" s="108" t="s">
        <v>8</v>
      </c>
      <c r="Z2" s="108" t="s">
        <v>8</v>
      </c>
      <c r="AA2" s="108" t="s">
        <v>8</v>
      </c>
      <c r="AB2" s="108" t="s">
        <v>8</v>
      </c>
      <c r="AC2" s="108" t="s">
        <v>8</v>
      </c>
    </row>
    <row r="3" spans="1:29" x14ac:dyDescent="0.25">
      <c r="A3" s="95" t="s">
        <v>577</v>
      </c>
      <c r="B3" s="95" t="s">
        <v>578</v>
      </c>
      <c r="C3" s="95" t="s">
        <v>579</v>
      </c>
      <c r="D3" s="95" t="s">
        <v>859</v>
      </c>
      <c r="E3" s="95" t="s">
        <v>858</v>
      </c>
      <c r="F3" s="95" t="s">
        <v>175</v>
      </c>
      <c r="G3" s="95" t="s">
        <v>581</v>
      </c>
      <c r="H3" s="95" t="s">
        <v>582</v>
      </c>
      <c r="I3" s="95" t="s">
        <v>583</v>
      </c>
      <c r="J3" s="74">
        <v>55.05</v>
      </c>
      <c r="K3" s="74">
        <v>0</v>
      </c>
      <c r="L3" s="74">
        <v>8.51</v>
      </c>
      <c r="M3" s="74" t="s">
        <v>179</v>
      </c>
      <c r="N3" s="74">
        <v>0</v>
      </c>
      <c r="O3" s="74"/>
      <c r="P3" s="74">
        <v>63.56</v>
      </c>
      <c r="Q3" s="95" t="s">
        <v>584</v>
      </c>
      <c r="R3" s="95" t="s">
        <v>181</v>
      </c>
      <c r="S3" s="95" t="s">
        <v>216</v>
      </c>
      <c r="T3" s="95" t="s">
        <v>183</v>
      </c>
      <c r="U3" s="95"/>
      <c r="V3" s="95" t="s">
        <v>184</v>
      </c>
      <c r="W3" s="95" t="s">
        <v>185</v>
      </c>
      <c r="X3" s="95" t="s">
        <v>585</v>
      </c>
      <c r="Y3" s="95"/>
      <c r="Z3" s="95"/>
      <c r="AA3" s="95" t="s">
        <v>586</v>
      </c>
      <c r="AB3" s="95">
        <v>8.51</v>
      </c>
    </row>
    <row r="4" spans="1:29" x14ac:dyDescent="0.25">
      <c r="A4" s="95" t="s">
        <v>587</v>
      </c>
      <c r="B4" s="95" t="s">
        <v>588</v>
      </c>
      <c r="C4" s="95" t="s">
        <v>589</v>
      </c>
      <c r="D4" s="95" t="s">
        <v>859</v>
      </c>
      <c r="E4" s="95" t="s">
        <v>858</v>
      </c>
      <c r="F4" s="95" t="s">
        <v>175</v>
      </c>
      <c r="G4" s="95" t="s">
        <v>590</v>
      </c>
      <c r="H4" s="95" t="s">
        <v>591</v>
      </c>
      <c r="I4" s="95" t="s">
        <v>592</v>
      </c>
      <c r="J4" s="74">
        <v>173.05</v>
      </c>
      <c r="K4" s="74">
        <v>0</v>
      </c>
      <c r="L4" s="74">
        <v>26.94</v>
      </c>
      <c r="M4" s="74" t="s">
        <v>179</v>
      </c>
      <c r="N4" s="74">
        <v>0</v>
      </c>
      <c r="O4" s="74"/>
      <c r="P4" s="74">
        <v>199.99</v>
      </c>
      <c r="Q4" s="95" t="s">
        <v>593</v>
      </c>
      <c r="R4" s="95" t="s">
        <v>181</v>
      </c>
      <c r="S4" s="95" t="s">
        <v>182</v>
      </c>
      <c r="T4" s="95" t="s">
        <v>183</v>
      </c>
      <c r="U4" s="95" t="s">
        <v>594</v>
      </c>
      <c r="V4" s="95" t="s">
        <v>184</v>
      </c>
      <c r="W4" s="95" t="s">
        <v>185</v>
      </c>
      <c r="X4" s="95" t="s">
        <v>595</v>
      </c>
      <c r="Y4" s="95"/>
      <c r="Z4" s="95"/>
      <c r="AA4" s="95" t="s">
        <v>596</v>
      </c>
      <c r="AB4" s="95">
        <v>26.94</v>
      </c>
    </row>
    <row r="5" spans="1:29" x14ac:dyDescent="0.25">
      <c r="A5" s="95" t="s">
        <v>597</v>
      </c>
      <c r="B5" s="95" t="s">
        <v>152</v>
      </c>
      <c r="C5" s="95" t="s">
        <v>598</v>
      </c>
      <c r="D5" s="95" t="s">
        <v>859</v>
      </c>
      <c r="E5" s="95" t="s">
        <v>858</v>
      </c>
      <c r="F5" s="95" t="s">
        <v>175</v>
      </c>
      <c r="G5" s="95" t="s">
        <v>600</v>
      </c>
      <c r="H5" s="95" t="s">
        <v>601</v>
      </c>
      <c r="I5" s="95" t="s">
        <v>602</v>
      </c>
      <c r="J5" s="74">
        <v>25</v>
      </c>
      <c r="K5" s="74">
        <v>0</v>
      </c>
      <c r="L5" s="74">
        <v>4</v>
      </c>
      <c r="M5" s="74" t="s">
        <v>179</v>
      </c>
      <c r="N5" s="74">
        <v>0</v>
      </c>
      <c r="O5" s="74"/>
      <c r="P5" s="74">
        <v>29</v>
      </c>
      <c r="Q5" s="95" t="s">
        <v>603</v>
      </c>
      <c r="R5" s="95" t="s">
        <v>181</v>
      </c>
      <c r="S5" s="95" t="s">
        <v>303</v>
      </c>
      <c r="T5" s="95" t="s">
        <v>183</v>
      </c>
      <c r="U5" s="95"/>
      <c r="V5" s="95" t="s">
        <v>184</v>
      </c>
      <c r="W5" s="95" t="s">
        <v>185</v>
      </c>
      <c r="X5" s="95" t="s">
        <v>595</v>
      </c>
      <c r="Y5" s="95"/>
      <c r="Z5" s="95"/>
      <c r="AA5" s="95" t="s">
        <v>604</v>
      </c>
      <c r="AB5" s="95">
        <v>4</v>
      </c>
    </row>
    <row r="6" spans="1:29" x14ac:dyDescent="0.25">
      <c r="A6" s="95" t="s">
        <v>605</v>
      </c>
      <c r="B6" s="95" t="s">
        <v>606</v>
      </c>
      <c r="C6" s="95" t="s">
        <v>607</v>
      </c>
      <c r="D6" s="95" t="s">
        <v>859</v>
      </c>
      <c r="E6" s="95" t="s">
        <v>858</v>
      </c>
      <c r="F6" s="95" t="s">
        <v>175</v>
      </c>
      <c r="G6" s="95"/>
      <c r="H6" s="95"/>
      <c r="I6" s="95" t="s">
        <v>609</v>
      </c>
      <c r="J6" s="74">
        <v>46.11</v>
      </c>
      <c r="K6" s="74">
        <v>0.02</v>
      </c>
      <c r="L6" s="74">
        <v>7.38</v>
      </c>
      <c r="M6" s="74" t="s">
        <v>179</v>
      </c>
      <c r="N6" s="74">
        <v>0</v>
      </c>
      <c r="O6" s="74"/>
      <c r="P6" s="74">
        <v>53.47</v>
      </c>
      <c r="Q6" s="95" t="s">
        <v>610</v>
      </c>
      <c r="R6" s="95" t="s">
        <v>181</v>
      </c>
      <c r="S6" s="95" t="s">
        <v>201</v>
      </c>
      <c r="T6" s="95" t="s">
        <v>183</v>
      </c>
      <c r="U6" s="95"/>
      <c r="V6" s="95" t="s">
        <v>184</v>
      </c>
      <c r="W6" s="95" t="s">
        <v>421</v>
      </c>
      <c r="X6" s="95" t="s">
        <v>595</v>
      </c>
      <c r="Y6" s="95"/>
      <c r="Z6" s="95"/>
      <c r="AA6" s="95" t="s">
        <v>611</v>
      </c>
      <c r="AB6" s="95">
        <v>7.38</v>
      </c>
    </row>
    <row r="7" spans="1:29" x14ac:dyDescent="0.25">
      <c r="A7" s="95" t="s">
        <v>612</v>
      </c>
      <c r="B7" s="95" t="s">
        <v>578</v>
      </c>
      <c r="C7" s="95" t="s">
        <v>579</v>
      </c>
      <c r="D7" s="95" t="s">
        <v>859</v>
      </c>
      <c r="E7" s="95" t="s">
        <v>858</v>
      </c>
      <c r="F7" s="95" t="s">
        <v>175</v>
      </c>
      <c r="G7" s="95" t="s">
        <v>581</v>
      </c>
      <c r="H7" s="95" t="s">
        <v>613</v>
      </c>
      <c r="I7" s="95" t="s">
        <v>614</v>
      </c>
      <c r="J7" s="74">
        <v>62.39</v>
      </c>
      <c r="K7" s="74">
        <v>0</v>
      </c>
      <c r="L7" s="74">
        <v>9.65</v>
      </c>
      <c r="M7" s="74" t="s">
        <v>179</v>
      </c>
      <c r="N7" s="74">
        <v>0</v>
      </c>
      <c r="O7" s="74"/>
      <c r="P7" s="74">
        <v>72.040000000000006</v>
      </c>
      <c r="Q7" s="95" t="s">
        <v>615</v>
      </c>
      <c r="R7" s="95" t="s">
        <v>181</v>
      </c>
      <c r="S7" s="95" t="s">
        <v>216</v>
      </c>
      <c r="T7" s="95" t="s">
        <v>183</v>
      </c>
      <c r="U7" s="95"/>
      <c r="V7" s="95" t="s">
        <v>184</v>
      </c>
      <c r="W7" s="95" t="s">
        <v>185</v>
      </c>
      <c r="X7" s="95" t="s">
        <v>585</v>
      </c>
      <c r="Y7" s="95"/>
      <c r="Z7" s="95"/>
      <c r="AA7" s="95" t="s">
        <v>616</v>
      </c>
      <c r="AB7" s="95">
        <v>9.65</v>
      </c>
    </row>
    <row r="8" spans="1:29" x14ac:dyDescent="0.25">
      <c r="A8" s="95" t="s">
        <v>617</v>
      </c>
      <c r="B8" s="95" t="s">
        <v>152</v>
      </c>
      <c r="C8" s="95" t="s">
        <v>598</v>
      </c>
      <c r="D8" s="95" t="s">
        <v>859</v>
      </c>
      <c r="E8" s="95" t="s">
        <v>858</v>
      </c>
      <c r="F8" s="95" t="s">
        <v>175</v>
      </c>
      <c r="G8" s="95" t="s">
        <v>600</v>
      </c>
      <c r="H8" s="95" t="s">
        <v>618</v>
      </c>
      <c r="I8" s="95" t="s">
        <v>619</v>
      </c>
      <c r="J8" s="74">
        <v>25</v>
      </c>
      <c r="K8" s="74">
        <v>0</v>
      </c>
      <c r="L8" s="74">
        <v>4</v>
      </c>
      <c r="M8" s="74" t="s">
        <v>179</v>
      </c>
      <c r="N8" s="74">
        <v>0</v>
      </c>
      <c r="O8" s="74"/>
      <c r="P8" s="74">
        <v>29</v>
      </c>
      <c r="Q8" s="95" t="s">
        <v>620</v>
      </c>
      <c r="R8" s="95" t="s">
        <v>181</v>
      </c>
      <c r="S8" s="95" t="s">
        <v>303</v>
      </c>
      <c r="T8" s="95" t="s">
        <v>183</v>
      </c>
      <c r="U8" s="95"/>
      <c r="V8" s="95" t="s">
        <v>184</v>
      </c>
      <c r="W8" s="95" t="s">
        <v>185</v>
      </c>
      <c r="X8" s="95" t="s">
        <v>595</v>
      </c>
      <c r="Y8" s="95"/>
      <c r="Z8" s="95"/>
      <c r="AA8" s="95" t="s">
        <v>621</v>
      </c>
      <c r="AB8" s="95">
        <v>4</v>
      </c>
    </row>
    <row r="9" spans="1:29" x14ac:dyDescent="0.25">
      <c r="A9" s="95" t="s">
        <v>622</v>
      </c>
      <c r="B9" s="95" t="s">
        <v>578</v>
      </c>
      <c r="C9" s="95" t="s">
        <v>579</v>
      </c>
      <c r="D9" s="95" t="s">
        <v>859</v>
      </c>
      <c r="E9" s="95" t="s">
        <v>858</v>
      </c>
      <c r="F9" s="95" t="s">
        <v>175</v>
      </c>
      <c r="G9" s="95" t="s">
        <v>581</v>
      </c>
      <c r="H9" s="95" t="s">
        <v>623</v>
      </c>
      <c r="I9" s="95" t="s">
        <v>624</v>
      </c>
      <c r="J9" s="74">
        <v>153.34</v>
      </c>
      <c r="K9" s="74">
        <v>0</v>
      </c>
      <c r="L9" s="74">
        <v>23.68</v>
      </c>
      <c r="M9" s="74" t="s">
        <v>179</v>
      </c>
      <c r="N9" s="74">
        <v>0</v>
      </c>
      <c r="O9" s="74"/>
      <c r="P9" s="74">
        <v>177.02</v>
      </c>
      <c r="Q9" s="95" t="s">
        <v>625</v>
      </c>
      <c r="R9" s="95" t="s">
        <v>181</v>
      </c>
      <c r="S9" s="95" t="s">
        <v>216</v>
      </c>
      <c r="T9" s="95" t="s">
        <v>183</v>
      </c>
      <c r="U9" s="95"/>
      <c r="V9" s="95" t="s">
        <v>184</v>
      </c>
      <c r="W9" s="95" t="s">
        <v>185</v>
      </c>
      <c r="X9" s="95" t="s">
        <v>585</v>
      </c>
      <c r="Y9" s="95"/>
      <c r="Z9" s="95"/>
      <c r="AA9" s="95" t="s">
        <v>626</v>
      </c>
      <c r="AB9" s="95">
        <v>23.68</v>
      </c>
    </row>
    <row r="10" spans="1:29" x14ac:dyDescent="0.25">
      <c r="A10" s="95" t="s">
        <v>627</v>
      </c>
      <c r="B10" s="95" t="s">
        <v>578</v>
      </c>
      <c r="C10" s="95" t="s">
        <v>579</v>
      </c>
      <c r="D10" s="95" t="s">
        <v>859</v>
      </c>
      <c r="E10" s="95" t="s">
        <v>858</v>
      </c>
      <c r="F10" s="95" t="s">
        <v>175</v>
      </c>
      <c r="G10" s="95" t="s">
        <v>581</v>
      </c>
      <c r="H10" s="95" t="s">
        <v>628</v>
      </c>
      <c r="I10" s="95" t="s">
        <v>629</v>
      </c>
      <c r="J10" s="74">
        <v>157.55000000000001</v>
      </c>
      <c r="K10" s="74">
        <v>0</v>
      </c>
      <c r="L10" s="74">
        <v>24.35</v>
      </c>
      <c r="M10" s="74" t="s">
        <v>179</v>
      </c>
      <c r="N10" s="74">
        <v>0</v>
      </c>
      <c r="O10" s="74"/>
      <c r="P10" s="74">
        <v>181.9</v>
      </c>
      <c r="Q10" s="95" t="s">
        <v>630</v>
      </c>
      <c r="R10" s="95" t="s">
        <v>181</v>
      </c>
      <c r="S10" s="95" t="s">
        <v>216</v>
      </c>
      <c r="T10" s="95" t="s">
        <v>183</v>
      </c>
      <c r="U10" s="95"/>
      <c r="V10" s="95" t="s">
        <v>184</v>
      </c>
      <c r="W10" s="95" t="s">
        <v>185</v>
      </c>
      <c r="X10" s="95" t="s">
        <v>585</v>
      </c>
      <c r="Y10" s="95"/>
      <c r="Z10" s="95"/>
      <c r="AA10" s="95" t="s">
        <v>631</v>
      </c>
      <c r="AB10" s="95">
        <v>24.35</v>
      </c>
    </row>
    <row r="11" spans="1:29" x14ac:dyDescent="0.25">
      <c r="A11" s="95" t="s">
        <v>632</v>
      </c>
      <c r="B11" s="95" t="s">
        <v>152</v>
      </c>
      <c r="C11" s="95" t="s">
        <v>598</v>
      </c>
      <c r="D11" s="95" t="s">
        <v>859</v>
      </c>
      <c r="E11" s="95" t="s">
        <v>858</v>
      </c>
      <c r="F11" s="95" t="s">
        <v>175</v>
      </c>
      <c r="G11" s="95" t="s">
        <v>600</v>
      </c>
      <c r="H11" s="95" t="s">
        <v>633</v>
      </c>
      <c r="I11" s="95" t="s">
        <v>634</v>
      </c>
      <c r="J11" s="74">
        <v>25</v>
      </c>
      <c r="K11" s="74">
        <v>0</v>
      </c>
      <c r="L11" s="74">
        <v>4</v>
      </c>
      <c r="M11" s="74" t="s">
        <v>179</v>
      </c>
      <c r="N11" s="74">
        <v>0</v>
      </c>
      <c r="O11" s="74"/>
      <c r="P11" s="74">
        <v>29</v>
      </c>
      <c r="Q11" s="95" t="s">
        <v>635</v>
      </c>
      <c r="R11" s="95" t="s">
        <v>181</v>
      </c>
      <c r="S11" s="95" t="s">
        <v>303</v>
      </c>
      <c r="T11" s="95" t="s">
        <v>183</v>
      </c>
      <c r="U11" s="95"/>
      <c r="V11" s="95" t="s">
        <v>184</v>
      </c>
      <c r="W11" s="95" t="s">
        <v>185</v>
      </c>
      <c r="X11" s="95" t="s">
        <v>595</v>
      </c>
      <c r="Y11" s="95"/>
      <c r="Z11" s="95"/>
      <c r="AA11" s="95" t="s">
        <v>636</v>
      </c>
      <c r="AB11" s="95">
        <v>4</v>
      </c>
    </row>
    <row r="12" spans="1:29" x14ac:dyDescent="0.25">
      <c r="A12" s="95" t="s">
        <v>637</v>
      </c>
      <c r="B12" s="95" t="s">
        <v>638</v>
      </c>
      <c r="C12" s="95" t="s">
        <v>639</v>
      </c>
      <c r="D12" s="95" t="s">
        <v>859</v>
      </c>
      <c r="E12" s="95" t="s">
        <v>858</v>
      </c>
      <c r="F12" s="95" t="s">
        <v>175</v>
      </c>
      <c r="G12" s="95" t="s">
        <v>640</v>
      </c>
      <c r="H12" s="95" t="s">
        <v>641</v>
      </c>
      <c r="I12" s="95" t="s">
        <v>642</v>
      </c>
      <c r="J12" s="74">
        <v>0.01</v>
      </c>
      <c r="K12" s="74">
        <v>0.01</v>
      </c>
      <c r="L12" s="74">
        <v>0</v>
      </c>
      <c r="M12" s="74"/>
      <c r="N12" s="74">
        <v>0</v>
      </c>
      <c r="O12" s="74"/>
      <c r="P12" s="74">
        <v>0</v>
      </c>
      <c r="Q12" s="95" t="s">
        <v>643</v>
      </c>
      <c r="R12" s="95" t="s">
        <v>181</v>
      </c>
      <c r="S12" s="95" t="s">
        <v>201</v>
      </c>
      <c r="T12" s="95" t="s">
        <v>183</v>
      </c>
      <c r="U12" s="95"/>
      <c r="V12" s="95" t="s">
        <v>184</v>
      </c>
      <c r="W12" s="95" t="s">
        <v>185</v>
      </c>
      <c r="X12" s="95" t="s">
        <v>595</v>
      </c>
      <c r="Y12" s="95"/>
      <c r="Z12" s="95"/>
      <c r="AA12" s="95" t="s">
        <v>644</v>
      </c>
      <c r="AB12" s="95">
        <v>0</v>
      </c>
    </row>
    <row r="13" spans="1:29" x14ac:dyDescent="0.25">
      <c r="A13" s="95" t="s">
        <v>645</v>
      </c>
      <c r="B13" s="95" t="s">
        <v>152</v>
      </c>
      <c r="C13" s="95" t="s">
        <v>598</v>
      </c>
      <c r="D13" s="95" t="s">
        <v>859</v>
      </c>
      <c r="E13" s="95" t="s">
        <v>858</v>
      </c>
      <c r="F13" s="95" t="s">
        <v>175</v>
      </c>
      <c r="G13" s="95" t="s">
        <v>600</v>
      </c>
      <c r="H13" s="95" t="s">
        <v>646</v>
      </c>
      <c r="I13" s="95" t="s">
        <v>647</v>
      </c>
      <c r="J13" s="74">
        <v>25</v>
      </c>
      <c r="K13" s="74">
        <v>0</v>
      </c>
      <c r="L13" s="74">
        <v>4</v>
      </c>
      <c r="M13" s="74" t="s">
        <v>179</v>
      </c>
      <c r="N13" s="74">
        <v>0</v>
      </c>
      <c r="O13" s="74"/>
      <c r="P13" s="74">
        <v>29</v>
      </c>
      <c r="Q13" s="95" t="s">
        <v>648</v>
      </c>
      <c r="R13" s="95" t="s">
        <v>181</v>
      </c>
      <c r="S13" s="95" t="s">
        <v>303</v>
      </c>
      <c r="T13" s="95" t="s">
        <v>183</v>
      </c>
      <c r="U13" s="95"/>
      <c r="V13" s="95" t="s">
        <v>184</v>
      </c>
      <c r="W13" s="95" t="s">
        <v>185</v>
      </c>
      <c r="X13" s="95" t="s">
        <v>595</v>
      </c>
      <c r="Y13" s="95"/>
      <c r="Z13" s="95"/>
      <c r="AA13" s="95" t="s">
        <v>649</v>
      </c>
      <c r="AB13" s="95">
        <v>4</v>
      </c>
    </row>
    <row r="14" spans="1:29" x14ac:dyDescent="0.25">
      <c r="A14" s="95" t="s">
        <v>650</v>
      </c>
      <c r="B14" s="95" t="s">
        <v>651</v>
      </c>
      <c r="C14" s="95" t="s">
        <v>652</v>
      </c>
      <c r="D14" s="95" t="s">
        <v>859</v>
      </c>
      <c r="E14" s="95" t="s">
        <v>858</v>
      </c>
      <c r="F14" s="95" t="s">
        <v>175</v>
      </c>
      <c r="G14" s="95" t="s">
        <v>150</v>
      </c>
      <c r="H14" s="95" t="s">
        <v>653</v>
      </c>
      <c r="I14" s="95" t="s">
        <v>654</v>
      </c>
      <c r="J14" s="74">
        <v>0.01</v>
      </c>
      <c r="K14" s="74">
        <v>0.01</v>
      </c>
      <c r="L14" s="74">
        <v>0</v>
      </c>
      <c r="M14" s="74"/>
      <c r="N14" s="74">
        <v>0</v>
      </c>
      <c r="O14" s="74"/>
      <c r="P14" s="74">
        <v>0</v>
      </c>
      <c r="Q14" s="95" t="s">
        <v>655</v>
      </c>
      <c r="R14" s="95" t="s">
        <v>181</v>
      </c>
      <c r="S14" s="95" t="s">
        <v>201</v>
      </c>
      <c r="T14" s="95" t="s">
        <v>183</v>
      </c>
      <c r="U14" s="95"/>
      <c r="V14" s="95" t="s">
        <v>184</v>
      </c>
      <c r="W14" s="95" t="s">
        <v>421</v>
      </c>
      <c r="X14" s="95" t="s">
        <v>595</v>
      </c>
      <c r="Y14" s="95"/>
      <c r="Z14" s="95"/>
      <c r="AA14" s="95" t="s">
        <v>656</v>
      </c>
      <c r="AB14" s="95">
        <v>0</v>
      </c>
    </row>
    <row r="15" spans="1:29" s="95" customFormat="1" x14ac:dyDescent="0.25">
      <c r="J15" s="104">
        <f>SUM(J3:J14)</f>
        <v>747.51</v>
      </c>
      <c r="K15" s="104">
        <f t="shared" ref="K15:P15" si="0">SUM(K3:K14)</f>
        <v>0.04</v>
      </c>
      <c r="L15" s="104">
        <f t="shared" si="0"/>
        <v>116.50999999999999</v>
      </c>
      <c r="M15" s="104">
        <f t="shared" si="0"/>
        <v>0</v>
      </c>
      <c r="N15" s="104">
        <f t="shared" si="0"/>
        <v>0</v>
      </c>
      <c r="O15" s="104">
        <f t="shared" si="0"/>
        <v>0</v>
      </c>
      <c r="P15" s="104">
        <f t="shared" si="0"/>
        <v>863.98</v>
      </c>
    </row>
    <row r="16" spans="1:29" s="95" customFormat="1" x14ac:dyDescent="0.25">
      <c r="J16" s="74"/>
      <c r="K16" s="74"/>
      <c r="L16" s="74"/>
      <c r="M16" s="74"/>
      <c r="N16" s="74"/>
      <c r="O16" s="74"/>
      <c r="P16" s="74"/>
    </row>
    <row r="17" spans="1:29" x14ac:dyDescent="0.25">
      <c r="A17" s="109" t="s">
        <v>9</v>
      </c>
      <c r="B17" s="109" t="s">
        <v>9</v>
      </c>
      <c r="C17" s="109" t="s">
        <v>9</v>
      </c>
      <c r="D17" s="109" t="s">
        <v>9</v>
      </c>
      <c r="E17" s="109" t="s">
        <v>9</v>
      </c>
      <c r="F17" s="109" t="s">
        <v>9</v>
      </c>
      <c r="G17" s="109" t="s">
        <v>9</v>
      </c>
      <c r="H17" s="109" t="s">
        <v>9</v>
      </c>
      <c r="I17" s="109" t="s">
        <v>9</v>
      </c>
      <c r="J17" s="110" t="s">
        <v>9</v>
      </c>
      <c r="K17" s="110" t="s">
        <v>9</v>
      </c>
      <c r="L17" s="110" t="s">
        <v>9</v>
      </c>
      <c r="M17" s="110" t="s">
        <v>9</v>
      </c>
      <c r="N17" s="110" t="s">
        <v>9</v>
      </c>
      <c r="O17" s="110" t="s">
        <v>9</v>
      </c>
      <c r="P17" s="110" t="s">
        <v>9</v>
      </c>
      <c r="Q17" s="109" t="s">
        <v>9</v>
      </c>
      <c r="R17" s="109" t="s">
        <v>9</v>
      </c>
      <c r="S17" s="109" t="s">
        <v>9</v>
      </c>
      <c r="T17" s="109" t="s">
        <v>9</v>
      </c>
      <c r="U17" s="109" t="s">
        <v>9</v>
      </c>
      <c r="V17" s="109" t="s">
        <v>9</v>
      </c>
      <c r="W17" s="109" t="s">
        <v>9</v>
      </c>
      <c r="X17" s="109" t="s">
        <v>9</v>
      </c>
      <c r="Y17" s="109" t="s">
        <v>9</v>
      </c>
      <c r="Z17" s="109" t="s">
        <v>9</v>
      </c>
      <c r="AA17" s="109" t="s">
        <v>9</v>
      </c>
      <c r="AB17" s="109" t="s">
        <v>9</v>
      </c>
      <c r="AC17" s="109" t="s">
        <v>9</v>
      </c>
    </row>
    <row r="18" spans="1:29" x14ac:dyDescent="0.25">
      <c r="A18" s="95" t="s">
        <v>657</v>
      </c>
      <c r="B18" s="95" t="s">
        <v>152</v>
      </c>
      <c r="C18" s="95" t="s">
        <v>598</v>
      </c>
      <c r="D18" s="95" t="s">
        <v>859</v>
      </c>
      <c r="E18" s="95" t="s">
        <v>599</v>
      </c>
      <c r="F18" s="95" t="s">
        <v>175</v>
      </c>
      <c r="G18" s="95" t="s">
        <v>600</v>
      </c>
      <c r="H18" s="95" t="s">
        <v>658</v>
      </c>
      <c r="I18" s="95" t="s">
        <v>659</v>
      </c>
      <c r="J18" s="74">
        <v>25</v>
      </c>
      <c r="K18" s="74">
        <v>0</v>
      </c>
      <c r="L18" s="74">
        <v>4</v>
      </c>
      <c r="M18" s="74" t="s">
        <v>179</v>
      </c>
      <c r="N18" s="74">
        <v>0</v>
      </c>
      <c r="O18" s="74"/>
      <c r="P18" s="74">
        <v>29</v>
      </c>
      <c r="Q18" s="95" t="s">
        <v>660</v>
      </c>
      <c r="R18" s="95" t="s">
        <v>181</v>
      </c>
      <c r="S18" s="95" t="s">
        <v>303</v>
      </c>
      <c r="T18" s="95" t="s">
        <v>183</v>
      </c>
      <c r="U18" s="95"/>
      <c r="V18" s="95" t="s">
        <v>184</v>
      </c>
      <c r="W18" s="95" t="s">
        <v>185</v>
      </c>
      <c r="X18" s="95" t="s">
        <v>595</v>
      </c>
      <c r="Y18" s="95"/>
      <c r="Z18" s="95"/>
      <c r="AA18" s="95" t="s">
        <v>661</v>
      </c>
      <c r="AB18" s="95">
        <v>4</v>
      </c>
    </row>
    <row r="19" spans="1:29" x14ac:dyDescent="0.25">
      <c r="A19" s="95" t="s">
        <v>662</v>
      </c>
      <c r="B19" s="95" t="s">
        <v>638</v>
      </c>
      <c r="C19" s="95" t="s">
        <v>639</v>
      </c>
      <c r="D19" s="95" t="s">
        <v>859</v>
      </c>
      <c r="E19" s="95" t="s">
        <v>172</v>
      </c>
      <c r="F19" s="95" t="s">
        <v>175</v>
      </c>
      <c r="G19" s="95" t="s">
        <v>640</v>
      </c>
      <c r="H19" s="95" t="s">
        <v>663</v>
      </c>
      <c r="I19" s="95" t="s">
        <v>664</v>
      </c>
      <c r="J19" s="74">
        <v>10.6</v>
      </c>
      <c r="K19" s="74">
        <v>0</v>
      </c>
      <c r="L19" s="74">
        <v>1.7</v>
      </c>
      <c r="M19" s="74" t="s">
        <v>179</v>
      </c>
      <c r="N19" s="74">
        <v>0</v>
      </c>
      <c r="O19" s="74"/>
      <c r="P19" s="74">
        <v>12.3</v>
      </c>
      <c r="Q19" s="95" t="s">
        <v>665</v>
      </c>
      <c r="R19" s="95" t="s">
        <v>181</v>
      </c>
      <c r="S19" s="95" t="s">
        <v>201</v>
      </c>
      <c r="T19" s="95" t="s">
        <v>183</v>
      </c>
      <c r="U19" s="95"/>
      <c r="V19" s="95" t="s">
        <v>184</v>
      </c>
      <c r="W19" s="95" t="s">
        <v>185</v>
      </c>
      <c r="X19" s="95" t="s">
        <v>595</v>
      </c>
      <c r="Y19" s="95"/>
      <c r="Z19" s="95"/>
      <c r="AA19" s="95" t="s">
        <v>666</v>
      </c>
      <c r="AB19" s="95">
        <v>1.7</v>
      </c>
    </row>
    <row r="20" spans="1:29" x14ac:dyDescent="0.25">
      <c r="A20" s="95" t="s">
        <v>667</v>
      </c>
      <c r="B20" s="95" t="s">
        <v>152</v>
      </c>
      <c r="C20" s="95" t="s">
        <v>598</v>
      </c>
      <c r="D20" s="95" t="s">
        <v>859</v>
      </c>
      <c r="E20" s="95" t="s">
        <v>599</v>
      </c>
      <c r="F20" s="95" t="s">
        <v>175</v>
      </c>
      <c r="G20" s="95" t="s">
        <v>600</v>
      </c>
      <c r="H20" s="95" t="s">
        <v>668</v>
      </c>
      <c r="I20" s="95" t="s">
        <v>669</v>
      </c>
      <c r="J20" s="74">
        <v>25</v>
      </c>
      <c r="K20" s="74">
        <v>0</v>
      </c>
      <c r="L20" s="74">
        <v>4</v>
      </c>
      <c r="M20" s="74" t="s">
        <v>179</v>
      </c>
      <c r="N20" s="74">
        <v>0</v>
      </c>
      <c r="O20" s="74"/>
      <c r="P20" s="74">
        <v>29</v>
      </c>
      <c r="Q20" s="95" t="s">
        <v>670</v>
      </c>
      <c r="R20" s="95" t="s">
        <v>181</v>
      </c>
      <c r="S20" s="95" t="s">
        <v>303</v>
      </c>
      <c r="T20" s="95" t="s">
        <v>183</v>
      </c>
      <c r="U20" s="95"/>
      <c r="V20" s="95" t="s">
        <v>184</v>
      </c>
      <c r="W20" s="95" t="s">
        <v>185</v>
      </c>
      <c r="X20" s="95" t="s">
        <v>595</v>
      </c>
      <c r="Y20" s="95"/>
      <c r="Z20" s="95"/>
      <c r="AA20" s="95" t="s">
        <v>671</v>
      </c>
      <c r="AB20" s="95">
        <v>4</v>
      </c>
    </row>
    <row r="21" spans="1:29" x14ac:dyDescent="0.25">
      <c r="A21" s="95" t="s">
        <v>672</v>
      </c>
      <c r="B21" s="95" t="s">
        <v>651</v>
      </c>
      <c r="C21" s="95" t="s">
        <v>652</v>
      </c>
      <c r="D21" s="95" t="s">
        <v>859</v>
      </c>
      <c r="E21" s="95" t="s">
        <v>608</v>
      </c>
      <c r="F21" s="95" t="s">
        <v>175</v>
      </c>
      <c r="G21" s="95" t="s">
        <v>150</v>
      </c>
      <c r="H21" s="95" t="s">
        <v>673</v>
      </c>
      <c r="I21" s="95" t="s">
        <v>674</v>
      </c>
      <c r="J21" s="74">
        <v>0.01</v>
      </c>
      <c r="K21" s="74">
        <v>0.01</v>
      </c>
      <c r="L21" s="74">
        <v>0</v>
      </c>
      <c r="M21" s="74"/>
      <c r="N21" s="74">
        <v>0</v>
      </c>
      <c r="O21" s="74"/>
      <c r="P21" s="74">
        <v>0</v>
      </c>
      <c r="Q21" s="95" t="s">
        <v>675</v>
      </c>
      <c r="R21" s="95" t="s">
        <v>181</v>
      </c>
      <c r="S21" s="95" t="s">
        <v>201</v>
      </c>
      <c r="T21" s="95" t="s">
        <v>183</v>
      </c>
      <c r="U21" s="95"/>
      <c r="V21" s="95" t="s">
        <v>184</v>
      </c>
      <c r="W21" s="95" t="s">
        <v>421</v>
      </c>
      <c r="X21" s="95" t="s">
        <v>595</v>
      </c>
      <c r="Y21" s="95"/>
      <c r="Z21" s="95"/>
      <c r="AA21" s="95" t="s">
        <v>656</v>
      </c>
      <c r="AB21" s="95">
        <v>0</v>
      </c>
    </row>
    <row r="22" spans="1:29" x14ac:dyDescent="0.25">
      <c r="A22" s="95" t="s">
        <v>676</v>
      </c>
      <c r="B22" s="95" t="s">
        <v>152</v>
      </c>
      <c r="C22" s="95" t="s">
        <v>598</v>
      </c>
      <c r="D22" s="95" t="s">
        <v>859</v>
      </c>
      <c r="E22" s="95" t="s">
        <v>599</v>
      </c>
      <c r="F22" s="95" t="s">
        <v>175</v>
      </c>
      <c r="G22" s="95" t="s">
        <v>600</v>
      </c>
      <c r="H22" s="95" t="s">
        <v>677</v>
      </c>
      <c r="I22" s="95" t="s">
        <v>678</v>
      </c>
      <c r="J22" s="74">
        <v>25</v>
      </c>
      <c r="K22" s="74">
        <v>0</v>
      </c>
      <c r="L22" s="74">
        <v>4</v>
      </c>
      <c r="M22" s="74" t="s">
        <v>179</v>
      </c>
      <c r="N22" s="74">
        <v>0</v>
      </c>
      <c r="O22" s="74"/>
      <c r="P22" s="74">
        <v>29</v>
      </c>
      <c r="Q22" s="95" t="s">
        <v>679</v>
      </c>
      <c r="R22" s="95" t="s">
        <v>181</v>
      </c>
      <c r="S22" s="95" t="s">
        <v>303</v>
      </c>
      <c r="T22" s="95" t="s">
        <v>183</v>
      </c>
      <c r="U22" s="95"/>
      <c r="V22" s="95" t="s">
        <v>184</v>
      </c>
      <c r="W22" s="95" t="s">
        <v>185</v>
      </c>
      <c r="X22" s="95" t="s">
        <v>595</v>
      </c>
      <c r="Y22" s="95"/>
      <c r="Z22" s="95"/>
      <c r="AA22" s="95" t="s">
        <v>680</v>
      </c>
      <c r="AB22" s="95">
        <v>4</v>
      </c>
    </row>
    <row r="23" spans="1:29" x14ac:dyDescent="0.25">
      <c r="A23" s="95" t="s">
        <v>681</v>
      </c>
      <c r="B23" s="95" t="s">
        <v>152</v>
      </c>
      <c r="C23" s="95" t="s">
        <v>598</v>
      </c>
      <c r="D23" s="95" t="s">
        <v>859</v>
      </c>
      <c r="E23" s="95" t="s">
        <v>599</v>
      </c>
      <c r="F23" s="95" t="s">
        <v>175</v>
      </c>
      <c r="G23" s="95" t="s">
        <v>600</v>
      </c>
      <c r="H23" s="95" t="s">
        <v>682</v>
      </c>
      <c r="I23" s="95" t="s">
        <v>683</v>
      </c>
      <c r="J23" s="74">
        <v>25</v>
      </c>
      <c r="K23" s="74">
        <v>0</v>
      </c>
      <c r="L23" s="74">
        <v>4</v>
      </c>
      <c r="M23" s="74" t="s">
        <v>179</v>
      </c>
      <c r="N23" s="74">
        <v>0</v>
      </c>
      <c r="O23" s="74"/>
      <c r="P23" s="74">
        <v>29</v>
      </c>
      <c r="Q23" s="95" t="s">
        <v>684</v>
      </c>
      <c r="R23" s="95" t="s">
        <v>181</v>
      </c>
      <c r="S23" s="95" t="s">
        <v>303</v>
      </c>
      <c r="T23" s="95" t="s">
        <v>183</v>
      </c>
      <c r="U23" s="95"/>
      <c r="V23" s="95" t="s">
        <v>184</v>
      </c>
      <c r="W23" s="95" t="s">
        <v>185</v>
      </c>
      <c r="X23" s="95" t="s">
        <v>595</v>
      </c>
      <c r="Y23" s="95"/>
      <c r="Z23" s="95"/>
      <c r="AA23" s="95" t="s">
        <v>685</v>
      </c>
      <c r="AB23" s="95">
        <v>4</v>
      </c>
    </row>
    <row r="24" spans="1:29" x14ac:dyDescent="0.25">
      <c r="A24" s="95" t="s">
        <v>686</v>
      </c>
      <c r="B24" s="95" t="s">
        <v>606</v>
      </c>
      <c r="C24" s="95" t="s">
        <v>607</v>
      </c>
      <c r="D24" s="95" t="s">
        <v>859</v>
      </c>
      <c r="E24" s="95" t="s">
        <v>608</v>
      </c>
      <c r="F24" s="95" t="s">
        <v>175</v>
      </c>
      <c r="G24" s="95"/>
      <c r="H24" s="95"/>
      <c r="I24" s="95" t="s">
        <v>687</v>
      </c>
      <c r="J24" s="74">
        <v>39.07</v>
      </c>
      <c r="K24" s="74">
        <v>0.02</v>
      </c>
      <c r="L24" s="74">
        <v>6.25</v>
      </c>
      <c r="M24" s="74" t="s">
        <v>179</v>
      </c>
      <c r="N24" s="74">
        <v>0</v>
      </c>
      <c r="O24" s="74"/>
      <c r="P24" s="74">
        <v>45.3</v>
      </c>
      <c r="Q24" s="95" t="s">
        <v>688</v>
      </c>
      <c r="R24" s="95" t="s">
        <v>181</v>
      </c>
      <c r="S24" s="95" t="s">
        <v>201</v>
      </c>
      <c r="T24" s="95" t="s">
        <v>183</v>
      </c>
      <c r="U24" s="95"/>
      <c r="V24" s="95" t="s">
        <v>184</v>
      </c>
      <c r="W24" s="95" t="s">
        <v>421</v>
      </c>
      <c r="X24" s="95" t="s">
        <v>595</v>
      </c>
      <c r="Y24" s="95"/>
      <c r="Z24" s="95"/>
      <c r="AA24" s="95" t="s">
        <v>689</v>
      </c>
      <c r="AB24" s="95">
        <v>6.25</v>
      </c>
    </row>
    <row r="25" spans="1:29" x14ac:dyDescent="0.25">
      <c r="A25" s="95" t="s">
        <v>690</v>
      </c>
      <c r="B25" s="95" t="s">
        <v>152</v>
      </c>
      <c r="C25" s="95" t="s">
        <v>598</v>
      </c>
      <c r="D25" s="95" t="s">
        <v>859</v>
      </c>
      <c r="E25" s="95" t="s">
        <v>599</v>
      </c>
      <c r="F25" s="95" t="s">
        <v>175</v>
      </c>
      <c r="G25" s="95" t="s">
        <v>600</v>
      </c>
      <c r="H25" s="95" t="s">
        <v>691</v>
      </c>
      <c r="I25" s="95" t="s">
        <v>692</v>
      </c>
      <c r="J25" s="74">
        <v>25</v>
      </c>
      <c r="K25" s="74">
        <v>0</v>
      </c>
      <c r="L25" s="74">
        <v>4</v>
      </c>
      <c r="M25" s="74" t="s">
        <v>179</v>
      </c>
      <c r="N25" s="74">
        <v>0</v>
      </c>
      <c r="O25" s="74"/>
      <c r="P25" s="74">
        <v>29</v>
      </c>
      <c r="Q25" s="95" t="s">
        <v>693</v>
      </c>
      <c r="R25" s="95" t="s">
        <v>181</v>
      </c>
      <c r="S25" s="95" t="s">
        <v>303</v>
      </c>
      <c r="T25" s="95" t="s">
        <v>183</v>
      </c>
      <c r="U25" s="95"/>
      <c r="V25" s="95" t="s">
        <v>184</v>
      </c>
      <c r="W25" s="95" t="s">
        <v>185</v>
      </c>
      <c r="X25" s="95" t="s">
        <v>595</v>
      </c>
      <c r="Y25" s="95"/>
      <c r="Z25" s="95"/>
      <c r="AA25" s="95" t="s">
        <v>694</v>
      </c>
      <c r="AB25" s="95">
        <v>4</v>
      </c>
    </row>
    <row r="26" spans="1:29" s="95" customFormat="1" x14ac:dyDescent="0.25">
      <c r="J26" s="104">
        <f>SUM(J18:J25)</f>
        <v>174.68</v>
      </c>
      <c r="K26" s="104">
        <f t="shared" ref="K26:P26" si="1">SUM(K18:K25)</f>
        <v>0.03</v>
      </c>
      <c r="L26" s="104">
        <f t="shared" si="1"/>
        <v>27.95</v>
      </c>
      <c r="M26" s="104">
        <f t="shared" si="1"/>
        <v>0</v>
      </c>
      <c r="N26" s="104">
        <f t="shared" si="1"/>
        <v>0</v>
      </c>
      <c r="O26" s="104">
        <f t="shared" si="1"/>
        <v>0</v>
      </c>
      <c r="P26" s="104">
        <f t="shared" si="1"/>
        <v>202.60000000000002</v>
      </c>
    </row>
    <row r="27" spans="1:29" s="95" customFormat="1" x14ac:dyDescent="0.25">
      <c r="J27" s="74"/>
      <c r="K27" s="74"/>
      <c r="L27" s="74"/>
      <c r="M27" s="74"/>
      <c r="N27" s="74"/>
      <c r="O27" s="74"/>
      <c r="P27" s="74"/>
    </row>
    <row r="28" spans="1:29" x14ac:dyDescent="0.25">
      <c r="A28" s="109" t="s">
        <v>10</v>
      </c>
      <c r="B28" s="109" t="s">
        <v>10</v>
      </c>
      <c r="C28" s="109" t="s">
        <v>10</v>
      </c>
      <c r="D28" s="109" t="s">
        <v>10</v>
      </c>
      <c r="E28" s="109" t="s">
        <v>10</v>
      </c>
      <c r="F28" s="109" t="s">
        <v>10</v>
      </c>
      <c r="G28" s="109" t="s">
        <v>10</v>
      </c>
      <c r="H28" s="109" t="s">
        <v>10</v>
      </c>
      <c r="I28" s="109" t="s">
        <v>10</v>
      </c>
      <c r="J28" s="110" t="s">
        <v>10</v>
      </c>
      <c r="K28" s="110" t="s">
        <v>10</v>
      </c>
      <c r="L28" s="110" t="s">
        <v>10</v>
      </c>
      <c r="M28" s="110" t="s">
        <v>10</v>
      </c>
      <c r="N28" s="110" t="s">
        <v>10</v>
      </c>
      <c r="O28" s="110" t="s">
        <v>10</v>
      </c>
      <c r="P28" s="110" t="s">
        <v>10</v>
      </c>
      <c r="Q28" s="109" t="s">
        <v>10</v>
      </c>
      <c r="R28" s="109" t="s">
        <v>10</v>
      </c>
      <c r="S28" s="109" t="s">
        <v>10</v>
      </c>
      <c r="T28" s="109" t="s">
        <v>10</v>
      </c>
      <c r="U28" s="109" t="s">
        <v>10</v>
      </c>
      <c r="V28" s="109" t="s">
        <v>10</v>
      </c>
      <c r="W28" s="109" t="s">
        <v>10</v>
      </c>
      <c r="X28" s="109" t="s">
        <v>10</v>
      </c>
      <c r="Y28" s="109" t="s">
        <v>10</v>
      </c>
      <c r="Z28" s="109" t="s">
        <v>10</v>
      </c>
      <c r="AA28" s="109" t="s">
        <v>10</v>
      </c>
      <c r="AB28" s="109" t="s">
        <v>10</v>
      </c>
    </row>
    <row r="29" spans="1:29" x14ac:dyDescent="0.25">
      <c r="A29" t="s">
        <v>695</v>
      </c>
      <c r="B29" t="s">
        <v>152</v>
      </c>
      <c r="C29" t="s">
        <v>598</v>
      </c>
      <c r="D29" t="s">
        <v>153</v>
      </c>
      <c r="E29" t="s">
        <v>599</v>
      </c>
      <c r="F29" t="s">
        <v>175</v>
      </c>
      <c r="G29" t="s">
        <v>600</v>
      </c>
      <c r="H29" t="s">
        <v>696</v>
      </c>
      <c r="I29" t="s">
        <v>697</v>
      </c>
      <c r="J29" s="74">
        <v>75</v>
      </c>
      <c r="K29" s="74">
        <v>0</v>
      </c>
      <c r="L29" s="74">
        <v>12</v>
      </c>
      <c r="M29" s="74" t="s">
        <v>179</v>
      </c>
      <c r="N29" s="74">
        <v>0</v>
      </c>
      <c r="O29" s="74"/>
      <c r="P29" s="74">
        <v>87</v>
      </c>
      <c r="Q29" t="s">
        <v>698</v>
      </c>
      <c r="R29" t="s">
        <v>181</v>
      </c>
      <c r="S29" t="s">
        <v>303</v>
      </c>
      <c r="T29" t="s">
        <v>183</v>
      </c>
      <c r="V29" t="s">
        <v>184</v>
      </c>
      <c r="W29" t="s">
        <v>185</v>
      </c>
      <c r="X29" t="s">
        <v>595</v>
      </c>
      <c r="AA29" t="s">
        <v>699</v>
      </c>
      <c r="AB29">
        <v>12</v>
      </c>
    </row>
    <row r="30" spans="1:29" x14ac:dyDescent="0.25">
      <c r="A30" t="s">
        <v>700</v>
      </c>
      <c r="B30" t="s">
        <v>578</v>
      </c>
      <c r="C30" t="s">
        <v>579</v>
      </c>
      <c r="D30" t="s">
        <v>153</v>
      </c>
      <c r="E30" t="s">
        <v>580</v>
      </c>
      <c r="F30" t="s">
        <v>175</v>
      </c>
      <c r="G30" t="s">
        <v>581</v>
      </c>
      <c r="H30" t="s">
        <v>701</v>
      </c>
      <c r="I30" t="s">
        <v>702</v>
      </c>
      <c r="J30" s="74">
        <v>86.53</v>
      </c>
      <c r="K30" s="74">
        <v>0</v>
      </c>
      <c r="L30" s="74">
        <v>13.47</v>
      </c>
      <c r="M30" s="74" t="s">
        <v>179</v>
      </c>
      <c r="N30" s="74">
        <v>0</v>
      </c>
      <c r="O30" s="74"/>
      <c r="P30" s="74">
        <v>100</v>
      </c>
      <c r="Q30" t="s">
        <v>703</v>
      </c>
      <c r="R30" t="s">
        <v>181</v>
      </c>
      <c r="S30" t="s">
        <v>704</v>
      </c>
      <c r="T30" t="s">
        <v>183</v>
      </c>
      <c r="V30" t="s">
        <v>184</v>
      </c>
      <c r="W30" t="s">
        <v>185</v>
      </c>
      <c r="X30" t="s">
        <v>585</v>
      </c>
      <c r="AA30" t="s">
        <v>705</v>
      </c>
      <c r="AB30">
        <v>13.47</v>
      </c>
    </row>
    <row r="31" spans="1:29" x14ac:dyDescent="0.25">
      <c r="A31" t="s">
        <v>706</v>
      </c>
      <c r="B31" t="s">
        <v>651</v>
      </c>
      <c r="C31" t="s">
        <v>652</v>
      </c>
      <c r="D31" t="s">
        <v>153</v>
      </c>
      <c r="E31" t="s">
        <v>172</v>
      </c>
      <c r="F31" t="s">
        <v>175</v>
      </c>
      <c r="G31" t="s">
        <v>150</v>
      </c>
      <c r="H31" t="s">
        <v>707</v>
      </c>
      <c r="I31" t="s">
        <v>708</v>
      </c>
      <c r="J31" s="74">
        <v>4611</v>
      </c>
      <c r="K31" s="74">
        <v>0</v>
      </c>
      <c r="L31" s="74">
        <v>737.76</v>
      </c>
      <c r="M31" s="74" t="s">
        <v>179</v>
      </c>
      <c r="N31" s="74">
        <v>0</v>
      </c>
      <c r="O31" s="74"/>
      <c r="P31" s="74">
        <v>5348.76</v>
      </c>
      <c r="Q31" t="s">
        <v>709</v>
      </c>
      <c r="R31" t="s">
        <v>181</v>
      </c>
      <c r="S31" t="s">
        <v>201</v>
      </c>
      <c r="T31" t="s">
        <v>183</v>
      </c>
      <c r="V31" t="s">
        <v>184</v>
      </c>
      <c r="W31" t="s">
        <v>421</v>
      </c>
      <c r="X31" t="s">
        <v>595</v>
      </c>
      <c r="AA31" t="s">
        <v>710</v>
      </c>
      <c r="AB31">
        <v>737.76</v>
      </c>
    </row>
    <row r="32" spans="1:29" x14ac:dyDescent="0.25">
      <c r="A32" t="s">
        <v>711</v>
      </c>
      <c r="B32" t="s">
        <v>651</v>
      </c>
      <c r="C32" t="s">
        <v>652</v>
      </c>
      <c r="D32" t="s">
        <v>153</v>
      </c>
      <c r="E32" t="s">
        <v>172</v>
      </c>
      <c r="F32" t="s">
        <v>175</v>
      </c>
      <c r="G32" t="s">
        <v>150</v>
      </c>
      <c r="H32" t="s">
        <v>712</v>
      </c>
      <c r="I32" t="s">
        <v>713</v>
      </c>
      <c r="J32" s="74">
        <v>4557</v>
      </c>
      <c r="K32" s="74">
        <v>0</v>
      </c>
      <c r="L32" s="74">
        <v>729.12</v>
      </c>
      <c r="M32" s="74" t="s">
        <v>179</v>
      </c>
      <c r="N32" s="74">
        <v>0</v>
      </c>
      <c r="O32" s="74"/>
      <c r="P32" s="74">
        <v>5286.12</v>
      </c>
      <c r="Q32" t="s">
        <v>714</v>
      </c>
      <c r="R32" t="s">
        <v>181</v>
      </c>
      <c r="S32" t="s">
        <v>201</v>
      </c>
      <c r="T32" t="s">
        <v>183</v>
      </c>
      <c r="V32" t="s">
        <v>184</v>
      </c>
      <c r="W32" t="s">
        <v>421</v>
      </c>
      <c r="X32" t="s">
        <v>595</v>
      </c>
      <c r="AA32" t="s">
        <v>715</v>
      </c>
      <c r="AB32">
        <v>729.12</v>
      </c>
    </row>
    <row r="33" spans="1:28" x14ac:dyDescent="0.25">
      <c r="A33" t="s">
        <v>716</v>
      </c>
      <c r="B33" t="s">
        <v>717</v>
      </c>
      <c r="C33" t="s">
        <v>718</v>
      </c>
      <c r="D33" t="s">
        <v>153</v>
      </c>
      <c r="E33" t="s">
        <v>580</v>
      </c>
      <c r="F33" t="s">
        <v>175</v>
      </c>
      <c r="G33" t="s">
        <v>151</v>
      </c>
      <c r="H33" t="s">
        <v>719</v>
      </c>
      <c r="I33" t="s">
        <v>720</v>
      </c>
      <c r="J33" s="74">
        <v>112.49</v>
      </c>
      <c r="K33" s="74">
        <v>0</v>
      </c>
      <c r="L33" s="74">
        <v>17.52</v>
      </c>
      <c r="M33" s="74" t="s">
        <v>179</v>
      </c>
      <c r="N33" s="74">
        <v>0</v>
      </c>
      <c r="O33" s="74"/>
      <c r="P33" s="74">
        <v>130.01</v>
      </c>
      <c r="Q33" t="s">
        <v>721</v>
      </c>
      <c r="R33" t="s">
        <v>181</v>
      </c>
      <c r="S33" t="s">
        <v>182</v>
      </c>
      <c r="T33" t="s">
        <v>183</v>
      </c>
      <c r="U33" t="s">
        <v>594</v>
      </c>
      <c r="V33" t="s">
        <v>184</v>
      </c>
      <c r="W33" t="s">
        <v>185</v>
      </c>
      <c r="X33" t="s">
        <v>595</v>
      </c>
      <c r="AA33" t="s">
        <v>722</v>
      </c>
      <c r="AB33">
        <v>17.52</v>
      </c>
    </row>
    <row r="34" spans="1:28" x14ac:dyDescent="0.25">
      <c r="A34" t="s">
        <v>723</v>
      </c>
      <c r="B34" t="s">
        <v>578</v>
      </c>
      <c r="C34" t="s">
        <v>579</v>
      </c>
      <c r="D34" t="s">
        <v>153</v>
      </c>
      <c r="E34" t="s">
        <v>580</v>
      </c>
      <c r="F34" t="s">
        <v>175</v>
      </c>
      <c r="G34" t="s">
        <v>581</v>
      </c>
      <c r="H34" t="s">
        <v>724</v>
      </c>
      <c r="I34" t="s">
        <v>725</v>
      </c>
      <c r="J34" s="74">
        <v>99.51</v>
      </c>
      <c r="K34" s="74">
        <v>0</v>
      </c>
      <c r="L34" s="74">
        <v>15.49</v>
      </c>
      <c r="M34" s="74" t="s">
        <v>179</v>
      </c>
      <c r="N34" s="74">
        <v>0</v>
      </c>
      <c r="O34" s="74"/>
      <c r="P34" s="74">
        <v>115</v>
      </c>
      <c r="Q34" t="s">
        <v>726</v>
      </c>
      <c r="R34" t="s">
        <v>181</v>
      </c>
      <c r="S34" t="s">
        <v>216</v>
      </c>
      <c r="T34" t="s">
        <v>183</v>
      </c>
      <c r="V34" t="s">
        <v>184</v>
      </c>
      <c r="W34" t="s">
        <v>185</v>
      </c>
      <c r="X34" t="s">
        <v>585</v>
      </c>
      <c r="AA34" t="s">
        <v>727</v>
      </c>
      <c r="AB34">
        <v>15.49</v>
      </c>
    </row>
    <row r="35" spans="1:28" x14ac:dyDescent="0.25">
      <c r="A35" t="s">
        <v>728</v>
      </c>
      <c r="B35" t="s">
        <v>152</v>
      </c>
      <c r="C35" t="s">
        <v>598</v>
      </c>
      <c r="D35" t="s">
        <v>153</v>
      </c>
      <c r="E35" t="s">
        <v>599</v>
      </c>
      <c r="F35" t="s">
        <v>175</v>
      </c>
      <c r="G35" t="s">
        <v>600</v>
      </c>
      <c r="H35" t="s">
        <v>729</v>
      </c>
      <c r="I35" t="s">
        <v>730</v>
      </c>
      <c r="J35" s="74">
        <v>25</v>
      </c>
      <c r="K35" s="74">
        <v>0</v>
      </c>
      <c r="L35" s="74">
        <v>4</v>
      </c>
      <c r="M35" s="74" t="s">
        <v>179</v>
      </c>
      <c r="N35" s="74">
        <v>0</v>
      </c>
      <c r="O35" s="74"/>
      <c r="P35" s="74">
        <v>29</v>
      </c>
      <c r="Q35" t="s">
        <v>731</v>
      </c>
      <c r="R35" t="s">
        <v>181</v>
      </c>
      <c r="S35" t="s">
        <v>303</v>
      </c>
      <c r="T35" t="s">
        <v>183</v>
      </c>
      <c r="V35" t="s">
        <v>184</v>
      </c>
      <c r="W35" t="s">
        <v>185</v>
      </c>
      <c r="X35" t="s">
        <v>595</v>
      </c>
      <c r="AA35" t="s">
        <v>732</v>
      </c>
      <c r="AB35">
        <v>4</v>
      </c>
    </row>
    <row r="36" spans="1:28" x14ac:dyDescent="0.25">
      <c r="A36" t="s">
        <v>733</v>
      </c>
      <c r="B36" t="s">
        <v>152</v>
      </c>
      <c r="C36" t="s">
        <v>598</v>
      </c>
      <c r="D36" t="s">
        <v>153</v>
      </c>
      <c r="E36" t="s">
        <v>599</v>
      </c>
      <c r="F36" t="s">
        <v>175</v>
      </c>
      <c r="G36" t="s">
        <v>600</v>
      </c>
      <c r="H36" t="s">
        <v>734</v>
      </c>
      <c r="I36" t="s">
        <v>735</v>
      </c>
      <c r="J36" s="74">
        <v>25</v>
      </c>
      <c r="K36" s="74">
        <v>0</v>
      </c>
      <c r="L36" s="74">
        <v>4</v>
      </c>
      <c r="M36" s="74" t="s">
        <v>179</v>
      </c>
      <c r="N36" s="74">
        <v>0</v>
      </c>
      <c r="O36" s="74"/>
      <c r="P36" s="74">
        <v>29</v>
      </c>
      <c r="Q36" t="s">
        <v>736</v>
      </c>
      <c r="R36" t="s">
        <v>181</v>
      </c>
      <c r="S36" t="s">
        <v>303</v>
      </c>
      <c r="T36" t="s">
        <v>183</v>
      </c>
      <c r="V36" t="s">
        <v>184</v>
      </c>
      <c r="W36" t="s">
        <v>185</v>
      </c>
      <c r="X36" t="s">
        <v>595</v>
      </c>
      <c r="AA36" t="s">
        <v>737</v>
      </c>
      <c r="AB36">
        <v>4</v>
      </c>
    </row>
    <row r="37" spans="1:28" x14ac:dyDescent="0.25">
      <c r="A37" t="s">
        <v>738</v>
      </c>
      <c r="B37" t="s">
        <v>606</v>
      </c>
      <c r="C37" t="s">
        <v>607</v>
      </c>
      <c r="D37" t="s">
        <v>153</v>
      </c>
      <c r="E37" t="s">
        <v>608</v>
      </c>
      <c r="F37" t="s">
        <v>175</v>
      </c>
      <c r="I37" t="s">
        <v>739</v>
      </c>
      <c r="J37" s="74">
        <v>31.79</v>
      </c>
      <c r="K37" s="74">
        <v>0.02</v>
      </c>
      <c r="L37" s="74">
        <v>5.08</v>
      </c>
      <c r="M37" s="74" t="s">
        <v>179</v>
      </c>
      <c r="N37" s="74">
        <v>0</v>
      </c>
      <c r="O37" s="74"/>
      <c r="P37" s="74">
        <v>36.85</v>
      </c>
      <c r="Q37" t="s">
        <v>740</v>
      </c>
      <c r="R37" t="s">
        <v>181</v>
      </c>
      <c r="S37" t="s">
        <v>201</v>
      </c>
      <c r="T37" t="s">
        <v>183</v>
      </c>
      <c r="V37" t="s">
        <v>184</v>
      </c>
      <c r="W37" t="s">
        <v>421</v>
      </c>
      <c r="X37" t="s">
        <v>595</v>
      </c>
      <c r="AA37" t="s">
        <v>741</v>
      </c>
      <c r="AB37">
        <v>5.08</v>
      </c>
    </row>
    <row r="38" spans="1:28" x14ac:dyDescent="0.25">
      <c r="A38" t="s">
        <v>742</v>
      </c>
      <c r="B38" t="s">
        <v>578</v>
      </c>
      <c r="C38" t="s">
        <v>579</v>
      </c>
      <c r="D38" t="s">
        <v>153</v>
      </c>
      <c r="E38" t="s">
        <v>580</v>
      </c>
      <c r="F38" t="s">
        <v>175</v>
      </c>
      <c r="G38" t="s">
        <v>581</v>
      </c>
      <c r="H38" t="s">
        <v>743</v>
      </c>
      <c r="I38" t="s">
        <v>744</v>
      </c>
      <c r="J38" s="74">
        <v>84.1</v>
      </c>
      <c r="K38" s="74">
        <v>0</v>
      </c>
      <c r="L38" s="74">
        <v>13.02</v>
      </c>
      <c r="M38" s="74" t="s">
        <v>179</v>
      </c>
      <c r="N38" s="74">
        <v>0</v>
      </c>
      <c r="O38" s="74"/>
      <c r="P38" s="74">
        <v>97.12</v>
      </c>
      <c r="Q38" t="s">
        <v>745</v>
      </c>
      <c r="R38" t="s">
        <v>181</v>
      </c>
      <c r="S38" t="s">
        <v>216</v>
      </c>
      <c r="T38" t="s">
        <v>183</v>
      </c>
      <c r="V38" t="s">
        <v>184</v>
      </c>
      <c r="W38" t="s">
        <v>185</v>
      </c>
      <c r="X38" t="s">
        <v>585</v>
      </c>
      <c r="AA38" t="s">
        <v>746</v>
      </c>
      <c r="AB38">
        <v>13.02</v>
      </c>
    </row>
    <row r="39" spans="1:28" x14ac:dyDescent="0.25">
      <c r="A39" t="s">
        <v>747</v>
      </c>
      <c r="B39" t="s">
        <v>651</v>
      </c>
      <c r="C39" t="s">
        <v>652</v>
      </c>
      <c r="D39" t="s">
        <v>153</v>
      </c>
      <c r="E39" t="s">
        <v>172</v>
      </c>
      <c r="F39" t="s">
        <v>175</v>
      </c>
      <c r="G39" t="s">
        <v>150</v>
      </c>
      <c r="H39" t="s">
        <v>748</v>
      </c>
      <c r="I39" t="s">
        <v>749</v>
      </c>
      <c r="J39" s="74">
        <v>4503</v>
      </c>
      <c r="K39" s="74">
        <v>0</v>
      </c>
      <c r="L39" s="74">
        <v>720.48</v>
      </c>
      <c r="M39" s="74" t="s">
        <v>179</v>
      </c>
      <c r="N39" s="74">
        <v>0</v>
      </c>
      <c r="O39" s="74"/>
      <c r="P39" s="74">
        <v>5223.4799999999996</v>
      </c>
      <c r="Q39" t="s">
        <v>750</v>
      </c>
      <c r="R39" t="s">
        <v>181</v>
      </c>
      <c r="S39" t="s">
        <v>201</v>
      </c>
      <c r="T39" t="s">
        <v>183</v>
      </c>
      <c r="V39" t="s">
        <v>184</v>
      </c>
      <c r="W39" t="s">
        <v>421</v>
      </c>
      <c r="X39" t="s">
        <v>595</v>
      </c>
      <c r="AA39" t="s">
        <v>751</v>
      </c>
      <c r="AB39">
        <v>720.48</v>
      </c>
    </row>
    <row r="40" spans="1:28" x14ac:dyDescent="0.25">
      <c r="A40" t="s">
        <v>752</v>
      </c>
      <c r="B40" t="s">
        <v>578</v>
      </c>
      <c r="C40" t="s">
        <v>579</v>
      </c>
      <c r="D40" t="s">
        <v>153</v>
      </c>
      <c r="E40" t="s">
        <v>580</v>
      </c>
      <c r="F40" t="s">
        <v>175</v>
      </c>
      <c r="G40" t="s">
        <v>581</v>
      </c>
      <c r="H40" t="s">
        <v>753</v>
      </c>
      <c r="I40" t="s">
        <v>754</v>
      </c>
      <c r="J40" s="74">
        <v>173.04</v>
      </c>
      <c r="K40" s="74">
        <v>0</v>
      </c>
      <c r="L40" s="74">
        <v>26.96</v>
      </c>
      <c r="M40" s="74" t="s">
        <v>179</v>
      </c>
      <c r="N40" s="74">
        <v>0</v>
      </c>
      <c r="O40" s="74"/>
      <c r="P40" s="74">
        <v>200</v>
      </c>
      <c r="Q40" t="s">
        <v>755</v>
      </c>
      <c r="R40" t="s">
        <v>181</v>
      </c>
      <c r="S40" t="s">
        <v>216</v>
      </c>
      <c r="T40" t="s">
        <v>183</v>
      </c>
      <c r="V40" t="s">
        <v>184</v>
      </c>
      <c r="W40" t="s">
        <v>185</v>
      </c>
      <c r="X40" t="s">
        <v>585</v>
      </c>
      <c r="AA40" t="s">
        <v>756</v>
      </c>
      <c r="AB40">
        <v>26.96</v>
      </c>
    </row>
    <row r="41" spans="1:28" x14ac:dyDescent="0.25">
      <c r="A41" t="s">
        <v>757</v>
      </c>
      <c r="B41" t="s">
        <v>638</v>
      </c>
      <c r="C41" t="s">
        <v>639</v>
      </c>
      <c r="D41" t="s">
        <v>153</v>
      </c>
      <c r="E41" t="s">
        <v>172</v>
      </c>
      <c r="F41" t="s">
        <v>175</v>
      </c>
      <c r="G41" t="s">
        <v>640</v>
      </c>
      <c r="H41" t="s">
        <v>758</v>
      </c>
      <c r="I41" t="s">
        <v>759</v>
      </c>
      <c r="J41" s="74">
        <v>1.3</v>
      </c>
      <c r="K41" s="74">
        <v>0</v>
      </c>
      <c r="L41" s="74">
        <v>0.21</v>
      </c>
      <c r="M41" s="74" t="s">
        <v>179</v>
      </c>
      <c r="N41" s="74">
        <v>0</v>
      </c>
      <c r="O41" s="74"/>
      <c r="P41" s="74">
        <v>1.51</v>
      </c>
      <c r="Q41" t="s">
        <v>760</v>
      </c>
      <c r="R41" t="s">
        <v>181</v>
      </c>
      <c r="S41" t="s">
        <v>201</v>
      </c>
      <c r="T41" t="s">
        <v>183</v>
      </c>
      <c r="V41" t="s">
        <v>184</v>
      </c>
      <c r="W41" t="s">
        <v>185</v>
      </c>
      <c r="X41" t="s">
        <v>595</v>
      </c>
      <c r="AA41" t="s">
        <v>761</v>
      </c>
      <c r="AB41">
        <v>0.21</v>
      </c>
    </row>
    <row r="42" spans="1:28" x14ac:dyDescent="0.25">
      <c r="A42" t="s">
        <v>762</v>
      </c>
      <c r="B42" t="s">
        <v>651</v>
      </c>
      <c r="C42" t="s">
        <v>652</v>
      </c>
      <c r="D42" t="s">
        <v>153</v>
      </c>
      <c r="E42" t="s">
        <v>608</v>
      </c>
      <c r="F42" t="s">
        <v>175</v>
      </c>
      <c r="G42" t="s">
        <v>150</v>
      </c>
      <c r="H42" t="s">
        <v>763</v>
      </c>
      <c r="I42" t="s">
        <v>764</v>
      </c>
      <c r="J42" s="74">
        <v>0.01</v>
      </c>
      <c r="K42" s="74">
        <v>0.01</v>
      </c>
      <c r="L42" s="74">
        <v>0</v>
      </c>
      <c r="M42" s="74"/>
      <c r="N42" s="74">
        <v>0</v>
      </c>
      <c r="O42" s="74"/>
      <c r="P42" s="74">
        <v>0</v>
      </c>
      <c r="Q42" t="s">
        <v>765</v>
      </c>
      <c r="R42" t="s">
        <v>181</v>
      </c>
      <c r="S42" t="s">
        <v>201</v>
      </c>
      <c r="T42" t="s">
        <v>183</v>
      </c>
      <c r="V42" t="s">
        <v>184</v>
      </c>
      <c r="W42" t="s">
        <v>421</v>
      </c>
      <c r="X42" t="s">
        <v>595</v>
      </c>
      <c r="AA42" t="s">
        <v>656</v>
      </c>
      <c r="AB42">
        <v>0</v>
      </c>
    </row>
    <row r="43" spans="1:28" x14ac:dyDescent="0.25">
      <c r="A43" t="s">
        <v>766</v>
      </c>
      <c r="B43" t="s">
        <v>578</v>
      </c>
      <c r="C43" t="s">
        <v>579</v>
      </c>
      <c r="D43" t="s">
        <v>153</v>
      </c>
      <c r="E43" t="s">
        <v>580</v>
      </c>
      <c r="F43" t="s">
        <v>175</v>
      </c>
      <c r="G43" t="s">
        <v>581</v>
      </c>
      <c r="H43" t="s">
        <v>767</v>
      </c>
      <c r="I43" t="s">
        <v>768</v>
      </c>
      <c r="J43" s="74">
        <v>173.06</v>
      </c>
      <c r="K43" s="74">
        <v>0</v>
      </c>
      <c r="L43" s="74">
        <v>26.94</v>
      </c>
      <c r="M43" s="74" t="s">
        <v>179</v>
      </c>
      <c r="N43" s="74">
        <v>0</v>
      </c>
      <c r="O43" s="74"/>
      <c r="P43" s="74">
        <v>200</v>
      </c>
      <c r="Q43" t="s">
        <v>769</v>
      </c>
      <c r="R43" t="s">
        <v>181</v>
      </c>
      <c r="S43" t="s">
        <v>216</v>
      </c>
      <c r="T43" t="s">
        <v>183</v>
      </c>
      <c r="V43" t="s">
        <v>184</v>
      </c>
      <c r="W43" t="s">
        <v>185</v>
      </c>
      <c r="X43" t="s">
        <v>585</v>
      </c>
      <c r="AA43" t="s">
        <v>770</v>
      </c>
      <c r="AB43">
        <v>26.94</v>
      </c>
    </row>
    <row r="44" spans="1:28" s="95" customFormat="1" x14ac:dyDescent="0.25">
      <c r="J44" s="104">
        <f>SUM(J29:J43)</f>
        <v>14557.83</v>
      </c>
      <c r="K44" s="104">
        <f t="shared" ref="K44:P44" si="2">SUM(K29:K43)</f>
        <v>0.03</v>
      </c>
      <c r="L44" s="104">
        <f t="shared" si="2"/>
        <v>2326.0499999999997</v>
      </c>
      <c r="M44" s="104">
        <f t="shared" si="2"/>
        <v>0</v>
      </c>
      <c r="N44" s="104">
        <f t="shared" si="2"/>
        <v>0</v>
      </c>
      <c r="O44" s="104">
        <f t="shared" si="2"/>
        <v>0</v>
      </c>
      <c r="P44" s="104">
        <f t="shared" si="2"/>
        <v>16883.850000000002</v>
      </c>
    </row>
    <row r="45" spans="1:28" s="95" customFormat="1" x14ac:dyDescent="0.25">
      <c r="J45" s="74"/>
      <c r="K45" s="74"/>
      <c r="L45" s="74"/>
      <c r="M45" s="74"/>
      <c r="N45" s="74"/>
      <c r="O45" s="74"/>
      <c r="P45" s="74"/>
    </row>
    <row r="46" spans="1:28" x14ac:dyDescent="0.25">
      <c r="A46" s="109" t="s">
        <v>11</v>
      </c>
      <c r="B46" s="109" t="s">
        <v>11</v>
      </c>
      <c r="C46" s="109" t="s">
        <v>11</v>
      </c>
      <c r="D46" s="109" t="s">
        <v>11</v>
      </c>
      <c r="E46" s="109" t="s">
        <v>11</v>
      </c>
      <c r="F46" s="109" t="s">
        <v>11</v>
      </c>
      <c r="G46" s="109" t="s">
        <v>11</v>
      </c>
      <c r="H46" s="109" t="s">
        <v>11</v>
      </c>
      <c r="I46" s="109" t="s">
        <v>11</v>
      </c>
      <c r="J46" s="110" t="s">
        <v>11</v>
      </c>
      <c r="K46" s="110" t="s">
        <v>11</v>
      </c>
      <c r="L46" s="110" t="s">
        <v>11</v>
      </c>
      <c r="M46" s="110" t="s">
        <v>11</v>
      </c>
      <c r="N46" s="110" t="s">
        <v>11</v>
      </c>
      <c r="O46" s="110" t="s">
        <v>11</v>
      </c>
      <c r="P46" s="110" t="s">
        <v>11</v>
      </c>
      <c r="Q46" s="109" t="s">
        <v>11</v>
      </c>
      <c r="R46" s="109" t="s">
        <v>11</v>
      </c>
      <c r="S46" s="109" t="s">
        <v>11</v>
      </c>
      <c r="T46" s="109" t="s">
        <v>11</v>
      </c>
      <c r="U46" s="109" t="s">
        <v>11</v>
      </c>
      <c r="V46" s="109" t="s">
        <v>11</v>
      </c>
      <c r="W46" s="109" t="s">
        <v>11</v>
      </c>
      <c r="X46" s="109" t="s">
        <v>11</v>
      </c>
      <c r="Y46" s="109" t="s">
        <v>11</v>
      </c>
      <c r="Z46" s="109" t="s">
        <v>11</v>
      </c>
      <c r="AA46" s="109" t="s">
        <v>11</v>
      </c>
      <c r="AB46" s="109" t="s">
        <v>11</v>
      </c>
    </row>
    <row r="47" spans="1:28" x14ac:dyDescent="0.25">
      <c r="A47" s="95" t="s">
        <v>771</v>
      </c>
      <c r="B47" s="95" t="s">
        <v>606</v>
      </c>
      <c r="C47" s="95" t="s">
        <v>607</v>
      </c>
      <c r="D47" s="95" t="s">
        <v>153</v>
      </c>
      <c r="E47" s="95" t="s">
        <v>608</v>
      </c>
      <c r="F47" s="95" t="s">
        <v>175</v>
      </c>
      <c r="G47" s="95"/>
      <c r="H47" s="95"/>
      <c r="I47" s="95" t="s">
        <v>772</v>
      </c>
      <c r="J47" s="74">
        <v>24.24</v>
      </c>
      <c r="K47" s="74">
        <v>0.02</v>
      </c>
      <c r="L47" s="74">
        <v>3.88</v>
      </c>
      <c r="M47" s="74" t="s">
        <v>179</v>
      </c>
      <c r="N47" s="74">
        <v>0</v>
      </c>
      <c r="O47" s="74"/>
      <c r="P47" s="74">
        <v>28.1</v>
      </c>
      <c r="Q47" s="95" t="s">
        <v>773</v>
      </c>
      <c r="R47" s="95" t="s">
        <v>181</v>
      </c>
      <c r="S47" s="95" t="s">
        <v>201</v>
      </c>
      <c r="T47" s="95" t="s">
        <v>183</v>
      </c>
      <c r="U47" s="95"/>
      <c r="V47" s="95" t="s">
        <v>184</v>
      </c>
      <c r="W47" s="95" t="s">
        <v>421</v>
      </c>
      <c r="X47" s="95" t="s">
        <v>595</v>
      </c>
      <c r="Y47" s="95"/>
      <c r="Z47" s="95"/>
      <c r="AA47" s="95" t="s">
        <v>774</v>
      </c>
      <c r="AB47" s="95">
        <v>3.88</v>
      </c>
    </row>
    <row r="48" spans="1:28" x14ac:dyDescent="0.25">
      <c r="A48" s="95" t="s">
        <v>775</v>
      </c>
      <c r="B48" s="95" t="s">
        <v>638</v>
      </c>
      <c r="C48" s="95" t="s">
        <v>639</v>
      </c>
      <c r="D48" s="95" t="s">
        <v>153</v>
      </c>
      <c r="E48" s="95" t="s">
        <v>172</v>
      </c>
      <c r="F48" s="95" t="s">
        <v>175</v>
      </c>
      <c r="G48" s="95" t="s">
        <v>640</v>
      </c>
      <c r="H48" s="95" t="s">
        <v>776</v>
      </c>
      <c r="I48" s="95" t="s">
        <v>777</v>
      </c>
      <c r="J48" s="74">
        <v>0.01</v>
      </c>
      <c r="K48" s="74">
        <v>0.01</v>
      </c>
      <c r="L48" s="74">
        <v>0</v>
      </c>
      <c r="M48" s="74"/>
      <c r="N48" s="74">
        <v>0</v>
      </c>
      <c r="O48" s="74"/>
      <c r="P48" s="74">
        <v>0</v>
      </c>
      <c r="Q48" s="95" t="s">
        <v>778</v>
      </c>
      <c r="R48" s="95" t="s">
        <v>181</v>
      </c>
      <c r="S48" s="95" t="s">
        <v>201</v>
      </c>
      <c r="T48" s="95" t="s">
        <v>183</v>
      </c>
      <c r="U48" s="95"/>
      <c r="V48" s="95" t="s">
        <v>184</v>
      </c>
      <c r="W48" s="95" t="s">
        <v>185</v>
      </c>
      <c r="X48" s="95" t="s">
        <v>595</v>
      </c>
      <c r="Y48" s="95"/>
      <c r="Z48" s="95"/>
      <c r="AA48" s="95" t="s">
        <v>644</v>
      </c>
      <c r="AB48" s="95">
        <v>0</v>
      </c>
    </row>
    <row r="49" spans="1:28" x14ac:dyDescent="0.25">
      <c r="A49" s="95" t="s">
        <v>779</v>
      </c>
      <c r="B49" s="95" t="s">
        <v>578</v>
      </c>
      <c r="C49" s="95" t="s">
        <v>579</v>
      </c>
      <c r="D49" s="95" t="s">
        <v>153</v>
      </c>
      <c r="E49" s="95" t="s">
        <v>580</v>
      </c>
      <c r="F49" s="95" t="s">
        <v>175</v>
      </c>
      <c r="G49" s="95" t="s">
        <v>581</v>
      </c>
      <c r="H49" s="95" t="s">
        <v>780</v>
      </c>
      <c r="I49" s="95" t="s">
        <v>781</v>
      </c>
      <c r="J49" s="74">
        <v>84.15</v>
      </c>
      <c r="K49" s="74">
        <v>0</v>
      </c>
      <c r="L49" s="74">
        <v>13.02</v>
      </c>
      <c r="M49" s="74" t="s">
        <v>179</v>
      </c>
      <c r="N49" s="74">
        <v>0</v>
      </c>
      <c r="O49" s="74"/>
      <c r="P49" s="74">
        <v>97.17</v>
      </c>
      <c r="Q49" s="95" t="s">
        <v>782</v>
      </c>
      <c r="R49" s="95" t="s">
        <v>181</v>
      </c>
      <c r="S49" s="95" t="s">
        <v>216</v>
      </c>
      <c r="T49" s="95" t="s">
        <v>183</v>
      </c>
      <c r="U49" s="95"/>
      <c r="V49" s="95" t="s">
        <v>184</v>
      </c>
      <c r="W49" s="95" t="s">
        <v>185</v>
      </c>
      <c r="X49" s="95" t="s">
        <v>585</v>
      </c>
      <c r="Y49" s="95"/>
      <c r="Z49" s="95"/>
      <c r="AA49" s="95" t="s">
        <v>783</v>
      </c>
      <c r="AB49" s="95">
        <v>13.02</v>
      </c>
    </row>
    <row r="50" spans="1:28" x14ac:dyDescent="0.25">
      <c r="A50" s="95" t="s">
        <v>784</v>
      </c>
      <c r="B50" s="95" t="s">
        <v>578</v>
      </c>
      <c r="C50" s="95" t="s">
        <v>579</v>
      </c>
      <c r="D50" s="95" t="s">
        <v>153</v>
      </c>
      <c r="E50" s="95" t="s">
        <v>580</v>
      </c>
      <c r="F50" s="95" t="s">
        <v>175</v>
      </c>
      <c r="G50" s="95" t="s">
        <v>581</v>
      </c>
      <c r="H50" s="95" t="s">
        <v>785</v>
      </c>
      <c r="I50" s="95" t="s">
        <v>786</v>
      </c>
      <c r="J50" s="74">
        <v>173.06</v>
      </c>
      <c r="K50" s="74">
        <v>0</v>
      </c>
      <c r="L50" s="74">
        <v>26.94</v>
      </c>
      <c r="M50" s="74" t="s">
        <v>179</v>
      </c>
      <c r="N50" s="74">
        <v>0</v>
      </c>
      <c r="O50" s="74"/>
      <c r="P50" s="74">
        <v>200</v>
      </c>
      <c r="Q50" s="95" t="s">
        <v>787</v>
      </c>
      <c r="R50" s="95" t="s">
        <v>181</v>
      </c>
      <c r="S50" s="95" t="s">
        <v>216</v>
      </c>
      <c r="T50" s="95" t="s">
        <v>183</v>
      </c>
      <c r="U50" s="95"/>
      <c r="V50" s="95" t="s">
        <v>184</v>
      </c>
      <c r="W50" s="95" t="s">
        <v>185</v>
      </c>
      <c r="X50" s="95" t="s">
        <v>585</v>
      </c>
      <c r="Y50" s="95"/>
      <c r="Z50" s="95"/>
      <c r="AA50" s="95" t="s">
        <v>788</v>
      </c>
      <c r="AB50" s="95">
        <v>26.94</v>
      </c>
    </row>
    <row r="51" spans="1:28" x14ac:dyDescent="0.25">
      <c r="A51" s="95" t="s">
        <v>789</v>
      </c>
      <c r="B51" s="95" t="s">
        <v>152</v>
      </c>
      <c r="C51" s="95" t="s">
        <v>598</v>
      </c>
      <c r="D51" s="95" t="s">
        <v>153</v>
      </c>
      <c r="E51" s="95" t="s">
        <v>599</v>
      </c>
      <c r="F51" s="95" t="s">
        <v>175</v>
      </c>
      <c r="G51" s="95" t="s">
        <v>600</v>
      </c>
      <c r="H51" s="95" t="s">
        <v>790</v>
      </c>
      <c r="I51" s="95" t="s">
        <v>791</v>
      </c>
      <c r="J51" s="74">
        <v>25</v>
      </c>
      <c r="K51" s="74">
        <v>0</v>
      </c>
      <c r="L51" s="74">
        <v>4</v>
      </c>
      <c r="M51" s="74" t="s">
        <v>179</v>
      </c>
      <c r="N51" s="74">
        <v>0</v>
      </c>
      <c r="O51" s="74"/>
      <c r="P51" s="74">
        <v>29</v>
      </c>
      <c r="Q51" s="95" t="s">
        <v>792</v>
      </c>
      <c r="R51" s="95" t="s">
        <v>181</v>
      </c>
      <c r="S51" s="95" t="s">
        <v>303</v>
      </c>
      <c r="T51" s="95" t="s">
        <v>183</v>
      </c>
      <c r="U51" s="95"/>
      <c r="V51" s="95" t="s">
        <v>184</v>
      </c>
      <c r="W51" s="95" t="s">
        <v>185</v>
      </c>
      <c r="X51" s="95" t="s">
        <v>595</v>
      </c>
      <c r="Y51" s="95"/>
      <c r="Z51" s="95"/>
      <c r="AA51" s="95" t="s">
        <v>793</v>
      </c>
      <c r="AB51" s="95">
        <v>4</v>
      </c>
    </row>
    <row r="52" spans="1:28" x14ac:dyDescent="0.25">
      <c r="A52" s="95" t="s">
        <v>794</v>
      </c>
      <c r="B52" s="95" t="s">
        <v>578</v>
      </c>
      <c r="C52" s="95" t="s">
        <v>579</v>
      </c>
      <c r="D52" s="95" t="s">
        <v>153</v>
      </c>
      <c r="E52" s="95" t="s">
        <v>580</v>
      </c>
      <c r="F52" s="95" t="s">
        <v>175</v>
      </c>
      <c r="G52" s="95" t="s">
        <v>581</v>
      </c>
      <c r="H52" s="95" t="s">
        <v>795</v>
      </c>
      <c r="I52" s="95" t="s">
        <v>786</v>
      </c>
      <c r="J52" s="74">
        <v>75.260000000000005</v>
      </c>
      <c r="K52" s="74">
        <v>0</v>
      </c>
      <c r="L52" s="74">
        <v>11.64</v>
      </c>
      <c r="M52" s="74" t="s">
        <v>179</v>
      </c>
      <c r="N52" s="74">
        <v>0</v>
      </c>
      <c r="O52" s="74"/>
      <c r="P52" s="74">
        <v>86.9</v>
      </c>
      <c r="Q52" s="95" t="s">
        <v>796</v>
      </c>
      <c r="R52" s="95" t="s">
        <v>181</v>
      </c>
      <c r="S52" s="95" t="s">
        <v>216</v>
      </c>
      <c r="T52" s="95" t="s">
        <v>183</v>
      </c>
      <c r="U52" s="95"/>
      <c r="V52" s="95" t="s">
        <v>184</v>
      </c>
      <c r="W52" s="95" t="s">
        <v>185</v>
      </c>
      <c r="X52" s="95" t="s">
        <v>585</v>
      </c>
      <c r="Y52" s="95"/>
      <c r="Z52" s="95"/>
      <c r="AA52" s="95" t="s">
        <v>797</v>
      </c>
      <c r="AB52" s="95">
        <v>11.64</v>
      </c>
    </row>
    <row r="53" spans="1:28" x14ac:dyDescent="0.25">
      <c r="A53" s="95" t="s">
        <v>798</v>
      </c>
      <c r="B53" s="95" t="s">
        <v>651</v>
      </c>
      <c r="C53" s="95" t="s">
        <v>652</v>
      </c>
      <c r="D53" s="95" t="s">
        <v>153</v>
      </c>
      <c r="E53" s="95" t="s">
        <v>608</v>
      </c>
      <c r="F53" s="95" t="s">
        <v>175</v>
      </c>
      <c r="G53" s="95" t="s">
        <v>150</v>
      </c>
      <c r="H53" s="95" t="s">
        <v>799</v>
      </c>
      <c r="I53" s="95" t="s">
        <v>800</v>
      </c>
      <c r="J53" s="74">
        <v>0.01</v>
      </c>
      <c r="K53" s="74">
        <v>0.01</v>
      </c>
      <c r="L53" s="74">
        <v>0</v>
      </c>
      <c r="M53" s="74"/>
      <c r="N53" s="74">
        <v>0</v>
      </c>
      <c r="O53" s="74"/>
      <c r="P53" s="74">
        <v>0</v>
      </c>
      <c r="Q53" s="95" t="s">
        <v>801</v>
      </c>
      <c r="R53" s="95" t="s">
        <v>181</v>
      </c>
      <c r="S53" s="95" t="s">
        <v>201</v>
      </c>
      <c r="T53" s="95" t="s">
        <v>183</v>
      </c>
      <c r="U53" s="95"/>
      <c r="V53" s="95" t="s">
        <v>184</v>
      </c>
      <c r="W53" s="95" t="s">
        <v>421</v>
      </c>
      <c r="X53" s="95" t="s">
        <v>595</v>
      </c>
      <c r="Y53" s="95"/>
      <c r="Z53" s="95"/>
      <c r="AA53" s="95" t="s">
        <v>656</v>
      </c>
      <c r="AB53" s="95">
        <v>0</v>
      </c>
    </row>
    <row r="54" spans="1:28" x14ac:dyDescent="0.25">
      <c r="A54" s="95" t="s">
        <v>802</v>
      </c>
      <c r="B54" s="95" t="s">
        <v>578</v>
      </c>
      <c r="C54" s="95" t="s">
        <v>579</v>
      </c>
      <c r="D54" s="95" t="s">
        <v>153</v>
      </c>
      <c r="E54" s="95" t="s">
        <v>580</v>
      </c>
      <c r="F54" s="95" t="s">
        <v>175</v>
      </c>
      <c r="G54" s="95" t="s">
        <v>581</v>
      </c>
      <c r="H54" s="95" t="s">
        <v>803</v>
      </c>
      <c r="I54" s="95" t="s">
        <v>804</v>
      </c>
      <c r="J54" s="74">
        <v>86.02</v>
      </c>
      <c r="K54" s="74">
        <v>0</v>
      </c>
      <c r="L54" s="74">
        <v>13.31</v>
      </c>
      <c r="M54" s="74" t="s">
        <v>179</v>
      </c>
      <c r="N54" s="74">
        <v>0</v>
      </c>
      <c r="O54" s="74"/>
      <c r="P54" s="74">
        <v>99.33</v>
      </c>
      <c r="Q54" s="95" t="s">
        <v>805</v>
      </c>
      <c r="R54" s="95" t="s">
        <v>181</v>
      </c>
      <c r="S54" s="95" t="s">
        <v>216</v>
      </c>
      <c r="T54" s="95" t="s">
        <v>183</v>
      </c>
      <c r="U54" s="95"/>
      <c r="V54" s="95" t="s">
        <v>184</v>
      </c>
      <c r="W54" s="95" t="s">
        <v>185</v>
      </c>
      <c r="X54" s="95" t="s">
        <v>585</v>
      </c>
      <c r="Y54" s="95"/>
      <c r="Z54" s="95"/>
      <c r="AA54" s="95" t="s">
        <v>806</v>
      </c>
      <c r="AB54" s="95">
        <v>13.31</v>
      </c>
    </row>
    <row r="55" spans="1:28" x14ac:dyDescent="0.25">
      <c r="A55" s="95" t="s">
        <v>807</v>
      </c>
      <c r="B55" s="95" t="s">
        <v>578</v>
      </c>
      <c r="C55" s="95" t="s">
        <v>579</v>
      </c>
      <c r="D55" s="95" t="s">
        <v>153</v>
      </c>
      <c r="E55" s="95" t="s">
        <v>580</v>
      </c>
      <c r="F55" s="95" t="s">
        <v>175</v>
      </c>
      <c r="G55" s="95" t="s">
        <v>581</v>
      </c>
      <c r="H55" s="95" t="s">
        <v>808</v>
      </c>
      <c r="I55" s="95" t="s">
        <v>809</v>
      </c>
      <c r="J55" s="74">
        <v>173.05</v>
      </c>
      <c r="K55" s="74">
        <v>0</v>
      </c>
      <c r="L55" s="74">
        <v>26.95</v>
      </c>
      <c r="M55" s="74" t="s">
        <v>179</v>
      </c>
      <c r="N55" s="74">
        <v>0</v>
      </c>
      <c r="O55" s="74"/>
      <c r="P55" s="74">
        <v>200</v>
      </c>
      <c r="Q55" s="95" t="s">
        <v>810</v>
      </c>
      <c r="R55" s="95" t="s">
        <v>181</v>
      </c>
      <c r="S55" s="95" t="s">
        <v>216</v>
      </c>
      <c r="T55" s="95" t="s">
        <v>183</v>
      </c>
      <c r="U55" s="95"/>
      <c r="V55" s="95" t="s">
        <v>184</v>
      </c>
      <c r="W55" s="95" t="s">
        <v>185</v>
      </c>
      <c r="X55" s="95" t="s">
        <v>585</v>
      </c>
      <c r="Y55" s="95"/>
      <c r="Z55" s="95"/>
      <c r="AA55" s="95" t="s">
        <v>811</v>
      </c>
      <c r="AB55" s="95">
        <v>26.95</v>
      </c>
    </row>
    <row r="56" spans="1:28" x14ac:dyDescent="0.25">
      <c r="A56" s="95" t="s">
        <v>812</v>
      </c>
      <c r="B56" s="95" t="s">
        <v>578</v>
      </c>
      <c r="C56" s="95" t="s">
        <v>579</v>
      </c>
      <c r="D56" s="95" t="s">
        <v>153</v>
      </c>
      <c r="E56" s="95" t="s">
        <v>580</v>
      </c>
      <c r="F56" s="95" t="s">
        <v>175</v>
      </c>
      <c r="G56" s="95" t="s">
        <v>581</v>
      </c>
      <c r="H56" s="95" t="s">
        <v>813</v>
      </c>
      <c r="I56" s="95" t="s">
        <v>814</v>
      </c>
      <c r="J56" s="74">
        <v>88.96</v>
      </c>
      <c r="K56" s="74">
        <v>0</v>
      </c>
      <c r="L56" s="74">
        <v>13.78</v>
      </c>
      <c r="M56" s="74" t="s">
        <v>179</v>
      </c>
      <c r="N56" s="74">
        <v>0</v>
      </c>
      <c r="O56" s="74"/>
      <c r="P56" s="74">
        <v>102.74</v>
      </c>
      <c r="Q56" s="95" t="s">
        <v>815</v>
      </c>
      <c r="R56" s="95" t="s">
        <v>181</v>
      </c>
      <c r="S56" s="95" t="s">
        <v>216</v>
      </c>
      <c r="T56" s="95" t="s">
        <v>183</v>
      </c>
      <c r="U56" s="95"/>
      <c r="V56" s="95" t="s">
        <v>184</v>
      </c>
      <c r="W56" s="95" t="s">
        <v>185</v>
      </c>
      <c r="X56" s="95" t="s">
        <v>585</v>
      </c>
      <c r="Y56" s="95"/>
      <c r="Z56" s="95"/>
      <c r="AA56" s="95" t="s">
        <v>816</v>
      </c>
      <c r="AB56" s="95">
        <v>13.78</v>
      </c>
    </row>
    <row r="57" spans="1:28" x14ac:dyDescent="0.25">
      <c r="A57" s="95" t="s">
        <v>817</v>
      </c>
      <c r="B57" s="95" t="s">
        <v>638</v>
      </c>
      <c r="C57" s="95" t="s">
        <v>639</v>
      </c>
      <c r="D57" s="95" t="s">
        <v>153</v>
      </c>
      <c r="E57" s="95" t="s">
        <v>172</v>
      </c>
      <c r="F57" s="95" t="s">
        <v>175</v>
      </c>
      <c r="G57" s="95" t="s">
        <v>640</v>
      </c>
      <c r="H57" s="95" t="s">
        <v>818</v>
      </c>
      <c r="I57" s="95" t="s">
        <v>777</v>
      </c>
      <c r="J57" s="74">
        <v>3.7</v>
      </c>
      <c r="K57" s="74">
        <v>0</v>
      </c>
      <c r="L57" s="74">
        <v>0.59</v>
      </c>
      <c r="M57" s="74" t="s">
        <v>179</v>
      </c>
      <c r="N57" s="74">
        <v>0</v>
      </c>
      <c r="O57" s="74"/>
      <c r="P57" s="74">
        <v>4.29</v>
      </c>
      <c r="Q57" s="95" t="s">
        <v>819</v>
      </c>
      <c r="R57" s="95" t="s">
        <v>181</v>
      </c>
      <c r="S57" s="95" t="s">
        <v>201</v>
      </c>
      <c r="T57" s="95" t="s">
        <v>183</v>
      </c>
      <c r="U57" s="95"/>
      <c r="V57" s="95" t="s">
        <v>184</v>
      </c>
      <c r="W57" s="95" t="s">
        <v>185</v>
      </c>
      <c r="X57" s="95" t="s">
        <v>595</v>
      </c>
      <c r="Y57" s="95"/>
      <c r="Z57" s="95"/>
      <c r="AA57" s="95" t="s">
        <v>820</v>
      </c>
      <c r="AB57" s="95">
        <v>0.59</v>
      </c>
    </row>
    <row r="58" spans="1:28" x14ac:dyDescent="0.25">
      <c r="A58" s="95" t="s">
        <v>821</v>
      </c>
      <c r="B58" s="95" t="s">
        <v>152</v>
      </c>
      <c r="C58" s="95" t="s">
        <v>598</v>
      </c>
      <c r="D58" s="95" t="s">
        <v>153</v>
      </c>
      <c r="E58" s="95" t="s">
        <v>599</v>
      </c>
      <c r="F58" s="95" t="s">
        <v>175</v>
      </c>
      <c r="G58" s="95" t="s">
        <v>600</v>
      </c>
      <c r="H58" s="95" t="s">
        <v>822</v>
      </c>
      <c r="I58" s="95" t="s">
        <v>823</v>
      </c>
      <c r="J58" s="74">
        <v>25</v>
      </c>
      <c r="K58" s="74">
        <v>0</v>
      </c>
      <c r="L58" s="74">
        <v>4</v>
      </c>
      <c r="M58" s="74" t="s">
        <v>179</v>
      </c>
      <c r="N58" s="74">
        <v>0</v>
      </c>
      <c r="O58" s="74"/>
      <c r="P58" s="74">
        <v>29</v>
      </c>
      <c r="Q58" s="95" t="s">
        <v>824</v>
      </c>
      <c r="R58" s="95" t="s">
        <v>181</v>
      </c>
      <c r="S58" s="95" t="s">
        <v>303</v>
      </c>
      <c r="T58" s="95" t="s">
        <v>183</v>
      </c>
      <c r="U58" s="95"/>
      <c r="V58" s="95" t="s">
        <v>184</v>
      </c>
      <c r="W58" s="95" t="s">
        <v>185</v>
      </c>
      <c r="X58" s="95" t="s">
        <v>595</v>
      </c>
      <c r="Y58" s="95"/>
      <c r="Z58" s="95"/>
      <c r="AA58" s="95" t="s">
        <v>825</v>
      </c>
      <c r="AB58" s="95">
        <v>4</v>
      </c>
    </row>
    <row r="59" spans="1:28" x14ac:dyDescent="0.25">
      <c r="A59" s="95" t="s">
        <v>826</v>
      </c>
      <c r="B59" s="95" t="s">
        <v>152</v>
      </c>
      <c r="C59" s="95" t="s">
        <v>598</v>
      </c>
      <c r="D59" s="95" t="s">
        <v>153</v>
      </c>
      <c r="E59" s="95" t="s">
        <v>599</v>
      </c>
      <c r="F59" s="95" t="s">
        <v>175</v>
      </c>
      <c r="G59" s="95" t="s">
        <v>600</v>
      </c>
      <c r="H59" s="95" t="s">
        <v>827</v>
      </c>
      <c r="I59" s="95" t="s">
        <v>828</v>
      </c>
      <c r="J59" s="74">
        <v>25</v>
      </c>
      <c r="K59" s="74">
        <v>0</v>
      </c>
      <c r="L59" s="74">
        <v>4</v>
      </c>
      <c r="M59" s="74" t="s">
        <v>179</v>
      </c>
      <c r="N59" s="74">
        <v>0</v>
      </c>
      <c r="O59" s="74"/>
      <c r="P59" s="74">
        <v>29</v>
      </c>
      <c r="Q59" s="95" t="s">
        <v>829</v>
      </c>
      <c r="R59" s="95" t="s">
        <v>181</v>
      </c>
      <c r="S59" s="95" t="s">
        <v>303</v>
      </c>
      <c r="T59" s="95" t="s">
        <v>183</v>
      </c>
      <c r="U59" s="95"/>
      <c r="V59" s="95" t="s">
        <v>184</v>
      </c>
      <c r="W59" s="95" t="s">
        <v>185</v>
      </c>
      <c r="X59" s="95" t="s">
        <v>595</v>
      </c>
      <c r="Y59" s="95"/>
      <c r="Z59" s="95"/>
      <c r="AA59" s="95" t="s">
        <v>830</v>
      </c>
      <c r="AB59" s="95">
        <v>4</v>
      </c>
    </row>
    <row r="60" spans="1:28" x14ac:dyDescent="0.25">
      <c r="A60" s="95" t="s">
        <v>831</v>
      </c>
      <c r="B60" s="95" t="s">
        <v>152</v>
      </c>
      <c r="C60" s="95" t="s">
        <v>598</v>
      </c>
      <c r="D60" s="95" t="s">
        <v>153</v>
      </c>
      <c r="E60" s="95" t="s">
        <v>599</v>
      </c>
      <c r="F60" s="95" t="s">
        <v>175</v>
      </c>
      <c r="G60" s="95" t="s">
        <v>600</v>
      </c>
      <c r="H60" s="95" t="s">
        <v>832</v>
      </c>
      <c r="I60" s="95" t="s">
        <v>833</v>
      </c>
      <c r="J60" s="74">
        <v>25</v>
      </c>
      <c r="K60" s="74">
        <v>0</v>
      </c>
      <c r="L60" s="74">
        <v>4</v>
      </c>
      <c r="M60" s="74" t="s">
        <v>179</v>
      </c>
      <c r="N60" s="74">
        <v>0</v>
      </c>
      <c r="O60" s="74"/>
      <c r="P60" s="74">
        <v>29</v>
      </c>
      <c r="Q60" s="95" t="s">
        <v>834</v>
      </c>
      <c r="R60" s="95" t="s">
        <v>181</v>
      </c>
      <c r="S60" s="95" t="s">
        <v>303</v>
      </c>
      <c r="T60" s="95" t="s">
        <v>183</v>
      </c>
      <c r="U60" s="95"/>
      <c r="V60" s="95" t="s">
        <v>184</v>
      </c>
      <c r="W60" s="95" t="s">
        <v>185</v>
      </c>
      <c r="X60" s="95" t="s">
        <v>595</v>
      </c>
      <c r="Y60" s="95"/>
      <c r="Z60" s="95"/>
      <c r="AA60" s="95" t="s">
        <v>835</v>
      </c>
      <c r="AB60" s="95">
        <v>4</v>
      </c>
    </row>
    <row r="61" spans="1:28" x14ac:dyDescent="0.25">
      <c r="J61" s="106">
        <f>SUM(J47:J60)</f>
        <v>808.46</v>
      </c>
      <c r="K61" s="16">
        <f t="shared" ref="K61:P61" si="3">SUM(K47:K60)</f>
        <v>0.04</v>
      </c>
      <c r="L61" s="107">
        <f t="shared" si="3"/>
        <v>126.11000000000001</v>
      </c>
      <c r="M61" s="107">
        <f t="shared" si="3"/>
        <v>0</v>
      </c>
      <c r="N61" s="107">
        <f t="shared" si="3"/>
        <v>0</v>
      </c>
      <c r="O61" s="107">
        <f t="shared" si="3"/>
        <v>0</v>
      </c>
      <c r="P61" s="107">
        <f t="shared" si="3"/>
        <v>934.53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8"/>
  <sheetViews>
    <sheetView showGridLines="0" tabSelected="1" workbookViewId="0"/>
  </sheetViews>
  <sheetFormatPr baseColWidth="10" defaultRowHeight="15" x14ac:dyDescent="0.25"/>
  <cols>
    <col min="1" max="1" width="4.85546875" customWidth="1"/>
    <col min="6" max="6" width="12.42578125" customWidth="1"/>
    <col min="19" max="19" width="15" bestFit="1" customWidth="1"/>
    <col min="21" max="21" width="18.140625" bestFit="1" customWidth="1"/>
  </cols>
  <sheetData>
    <row r="2" spans="2:21" ht="21" x14ac:dyDescent="0.25">
      <c r="E2" s="580" t="s">
        <v>1524</v>
      </c>
      <c r="F2" s="580"/>
      <c r="G2" s="583" t="s">
        <v>1525</v>
      </c>
      <c r="H2" s="525"/>
      <c r="I2" s="525"/>
      <c r="J2" s="525"/>
    </row>
    <row r="3" spans="2:21" s="126" customFormat="1" x14ac:dyDescent="0.25">
      <c r="E3" s="580"/>
      <c r="F3" s="580"/>
      <c r="G3" s="525"/>
      <c r="H3" s="525"/>
      <c r="I3" s="525"/>
      <c r="J3" s="525"/>
    </row>
    <row r="4" spans="2:21" ht="54" customHeight="1" x14ac:dyDescent="0.75">
      <c r="B4" s="578" t="s">
        <v>1523</v>
      </c>
    </row>
    <row r="5" spans="2:21" ht="54" customHeight="1" x14ac:dyDescent="0.35">
      <c r="C5" s="579" t="s">
        <v>1526</v>
      </c>
      <c r="D5" s="579"/>
      <c r="E5" s="579"/>
      <c r="F5" s="579"/>
      <c r="G5" s="579"/>
      <c r="H5" s="579"/>
      <c r="I5" s="579"/>
      <c r="J5" s="579"/>
      <c r="K5" s="579"/>
    </row>
    <row r="6" spans="2:21" ht="54" customHeight="1" x14ac:dyDescent="0.25">
      <c r="C6" s="582" t="s">
        <v>1527</v>
      </c>
      <c r="D6" s="581"/>
      <c r="E6" s="581"/>
      <c r="F6" s="581"/>
      <c r="G6" s="581"/>
      <c r="H6" s="581"/>
      <c r="I6" s="581"/>
      <c r="J6" s="581"/>
      <c r="K6" s="581"/>
      <c r="U6" s="389"/>
    </row>
    <row r="7" spans="2:21" ht="54" customHeight="1" x14ac:dyDescent="0.35">
      <c r="C7" s="584" t="s">
        <v>1528</v>
      </c>
    </row>
    <row r="8" spans="2:21" x14ac:dyDescent="0.25">
      <c r="S8" s="74"/>
    </row>
    <row r="9" spans="2:21" x14ac:dyDescent="0.25">
      <c r="B9" s="586">
        <v>1</v>
      </c>
      <c r="C9" t="s">
        <v>1530</v>
      </c>
      <c r="S9" s="16"/>
    </row>
    <row r="10" spans="2:21" x14ac:dyDescent="0.25">
      <c r="B10" s="586">
        <v>2</v>
      </c>
      <c r="C10" t="s">
        <v>1529</v>
      </c>
      <c r="G10" s="585" t="s">
        <v>1538</v>
      </c>
      <c r="S10" s="16"/>
    </row>
    <row r="11" spans="2:21" x14ac:dyDescent="0.25">
      <c r="B11" s="586">
        <v>3</v>
      </c>
      <c r="C11" t="s">
        <v>1531</v>
      </c>
      <c r="G11" s="585" t="s">
        <v>1539</v>
      </c>
      <c r="S11" s="16"/>
    </row>
    <row r="12" spans="2:21" x14ac:dyDescent="0.25">
      <c r="B12" s="586">
        <v>4</v>
      </c>
      <c r="C12" t="s">
        <v>1532</v>
      </c>
      <c r="G12" s="585" t="s">
        <v>1540</v>
      </c>
      <c r="S12" s="16"/>
    </row>
    <row r="13" spans="2:21" s="126" customFormat="1" x14ac:dyDescent="0.25">
      <c r="B13" s="586">
        <v>5</v>
      </c>
      <c r="C13" s="126" t="s">
        <v>1536</v>
      </c>
      <c r="G13" s="585" t="s">
        <v>1541</v>
      </c>
    </row>
    <row r="14" spans="2:21" x14ac:dyDescent="0.25">
      <c r="B14" s="586">
        <v>6</v>
      </c>
      <c r="C14" t="s">
        <v>1533</v>
      </c>
      <c r="G14" s="585" t="s">
        <v>1542</v>
      </c>
    </row>
    <row r="15" spans="2:21" x14ac:dyDescent="0.25">
      <c r="B15" s="586">
        <v>7</v>
      </c>
      <c r="C15" t="s">
        <v>1534</v>
      </c>
      <c r="G15" s="585" t="s">
        <v>1543</v>
      </c>
    </row>
    <row r="16" spans="2:21" x14ac:dyDescent="0.25">
      <c r="B16" s="586">
        <v>8</v>
      </c>
      <c r="C16" t="s">
        <v>1535</v>
      </c>
      <c r="G16" s="585" t="s">
        <v>1544</v>
      </c>
    </row>
    <row r="17" spans="2:7" x14ac:dyDescent="0.25">
      <c r="B17" s="586">
        <v>9</v>
      </c>
      <c r="C17" t="s">
        <v>1537</v>
      </c>
      <c r="G17" s="585" t="s">
        <v>1545</v>
      </c>
    </row>
    <row r="18" spans="2:7" x14ac:dyDescent="0.25">
      <c r="B18" s="586">
        <v>10</v>
      </c>
      <c r="C18" t="s">
        <v>1546</v>
      </c>
      <c r="G18" s="585" t="s">
        <v>1547</v>
      </c>
    </row>
    <row r="19" spans="2:7" x14ac:dyDescent="0.25">
      <c r="B19" s="586">
        <v>11</v>
      </c>
      <c r="C19" t="s">
        <v>1548</v>
      </c>
      <c r="G19" s="585" t="s">
        <v>1549</v>
      </c>
    </row>
    <row r="20" spans="2:7" x14ac:dyDescent="0.25">
      <c r="B20" s="586">
        <v>12</v>
      </c>
      <c r="C20" t="s">
        <v>1550</v>
      </c>
      <c r="G20" s="585" t="s">
        <v>1551</v>
      </c>
    </row>
    <row r="21" spans="2:7" x14ac:dyDescent="0.25">
      <c r="B21" s="586">
        <v>13</v>
      </c>
      <c r="C21" t="s">
        <v>1552</v>
      </c>
      <c r="G21" s="585" t="s">
        <v>1553</v>
      </c>
    </row>
    <row r="22" spans="2:7" x14ac:dyDescent="0.25">
      <c r="B22" s="586">
        <v>14</v>
      </c>
      <c r="C22" t="s">
        <v>1554</v>
      </c>
      <c r="G22" s="585" t="s">
        <v>1555</v>
      </c>
    </row>
    <row r="23" spans="2:7" x14ac:dyDescent="0.25">
      <c r="B23" s="586">
        <v>15</v>
      </c>
      <c r="C23" t="s">
        <v>1556</v>
      </c>
      <c r="G23" s="585" t="s">
        <v>1557</v>
      </c>
    </row>
    <row r="24" spans="2:7" x14ac:dyDescent="0.25">
      <c r="B24" s="586">
        <v>16</v>
      </c>
      <c r="C24" t="s">
        <v>1558</v>
      </c>
      <c r="G24" s="585" t="s">
        <v>1559</v>
      </c>
    </row>
    <row r="25" spans="2:7" x14ac:dyDescent="0.25">
      <c r="B25" s="586">
        <v>17</v>
      </c>
      <c r="C25" t="s">
        <v>1560</v>
      </c>
      <c r="G25" s="585" t="s">
        <v>1565</v>
      </c>
    </row>
    <row r="26" spans="2:7" x14ac:dyDescent="0.25">
      <c r="B26" s="586">
        <v>18</v>
      </c>
      <c r="C26" t="s">
        <v>1561</v>
      </c>
      <c r="G26" s="585" t="s">
        <v>1563</v>
      </c>
    </row>
    <row r="27" spans="2:7" x14ac:dyDescent="0.25">
      <c r="B27" s="586">
        <v>19</v>
      </c>
      <c r="C27" t="s">
        <v>1562</v>
      </c>
      <c r="G27" s="585" t="s">
        <v>1564</v>
      </c>
    </row>
    <row r="28" spans="2:7" x14ac:dyDescent="0.25">
      <c r="B28" s="586">
        <v>20</v>
      </c>
      <c r="C28" t="s">
        <v>1566</v>
      </c>
      <c r="G28" s="585" t="s">
        <v>1567</v>
      </c>
    </row>
  </sheetData>
  <mergeCells count="3">
    <mergeCell ref="E2:F3"/>
    <mergeCell ref="C5:K5"/>
    <mergeCell ref="C6:K6"/>
  </mergeCells>
  <hyperlinks>
    <hyperlink ref="G2" r:id="rId1"/>
    <hyperlink ref="C6" r:id="rId2"/>
    <hyperlink ref="G10" r:id="rId3" display="https://www.youtube.com/watch?v=Aj8Vu8uW9r0&amp;t=4995s"/>
    <hyperlink ref="G11" r:id="rId4" display="https://www.youtube.com/watch?v=wI_MsxubO5w&amp;t=9098s"/>
    <hyperlink ref="G12" r:id="rId5" display="https://www.youtube.com/watch?v=uyW7SLpdUaw&amp;t=10860s"/>
    <hyperlink ref="G13" r:id="rId6" display="https://www.youtube.com/watch?v=61ns6fkZZgU&amp;t=8552s"/>
    <hyperlink ref="G14" r:id="rId7" display="https://www.youtube.com/watch?v=1TWaX5PDrn8&amp;t=5740s"/>
    <hyperlink ref="G15" r:id="rId8" display="https://www.youtube.com/watch?v=W_OKlvz2lMc&amp;t=3075s"/>
    <hyperlink ref="G16" r:id="rId9" display="https://www.youtube.com/watch?v=rQhaO6_SV7s&amp;t=4392s"/>
    <hyperlink ref="G17" r:id="rId10" display="https://www.youtube.com/watch?v=X0CxTjg4bZI"/>
    <hyperlink ref="G18" r:id="rId11" display="https://www.youtube.com/watch?v=lSnBCKOMc28&amp;t=2152s"/>
    <hyperlink ref="G19" r:id="rId12" display="https://www.youtube.com/watch?v=hevEYsirPbM&amp;t=67s"/>
    <hyperlink ref="G20" r:id="rId13" display="https://www.youtube.com/watch?v=O9Spo5IQQ4o&amp;t=244s"/>
    <hyperlink ref="G21" r:id="rId14" display="https://www.youtube.com/watch?v=ddf4tAY_KKE&amp;t=1829s"/>
    <hyperlink ref="G22" r:id="rId15" display="https://www.youtube.com/watch?v=R0mys-wbJfY&amp;t=1378s"/>
    <hyperlink ref="G23" r:id="rId16" display="https://www.youtube.com/watch?v=CveRcswb9EE"/>
    <hyperlink ref="G24" r:id="rId17" display="https://www.youtube.com/watch?v=5f5jNaCaGRg&amp;t=2261s"/>
    <hyperlink ref="G26" r:id="rId18" display="https://www.youtube.com/watch?v=9nFYlHD4qVY&amp;t=984s"/>
    <hyperlink ref="G27" r:id="rId19" display="https://www.youtube.com/watch?v=kP7FsbpXHOk&amp;t=3s"/>
    <hyperlink ref="G25" r:id="rId20" display="https://www.youtube.com/watch?v=WF3DET7yH4Y&amp;t=28s"/>
    <hyperlink ref="G28" r:id="rId21" display="https://www.youtube.com/watch?v=4-yvcwz8igs&amp;t=4546s"/>
  </hyperlinks>
  <pageMargins left="0.7" right="0.7" top="0.75" bottom="0.75" header="0.3" footer="0.3"/>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showGridLines="0" topLeftCell="Y1" zoomScale="120" zoomScaleNormal="120" workbookViewId="0">
      <selection activeCell="AD1" sqref="AD1:AF2"/>
    </sheetView>
  </sheetViews>
  <sheetFormatPr baseColWidth="10" defaultRowHeight="15" x14ac:dyDescent="0.25"/>
  <cols>
    <col min="1" max="1" width="11.42578125" style="166"/>
    <col min="2" max="2" width="0" style="166" hidden="1" customWidth="1"/>
    <col min="3" max="3" width="11.42578125" style="166"/>
    <col min="4" max="9" width="0" style="166" hidden="1" customWidth="1"/>
    <col min="10" max="10" width="17" style="166" bestFit="1" customWidth="1"/>
    <col min="11" max="11" width="19.140625" style="166" customWidth="1"/>
    <col min="12" max="25" width="11.42578125" style="166"/>
    <col min="26" max="26" width="12.7109375" style="166" bestFit="1" customWidth="1"/>
    <col min="27" max="27" width="24.7109375" style="166" customWidth="1"/>
    <col min="28" max="28" width="14.85546875" style="166" customWidth="1"/>
    <col min="29" max="29" width="0" style="166" hidden="1" customWidth="1"/>
    <col min="30" max="30" width="19" style="166" bestFit="1" customWidth="1"/>
    <col min="31" max="31" width="12.42578125" style="166" customWidth="1"/>
    <col min="32" max="32" width="27.5703125" style="166" customWidth="1"/>
    <col min="33" max="33" width="17.28515625" style="166" customWidth="1"/>
    <col min="34" max="35" width="0" style="166" hidden="1" customWidth="1"/>
    <col min="36" max="36" width="13.42578125" style="166" bestFit="1" customWidth="1"/>
    <col min="37" max="57" width="11.42578125" style="243"/>
    <col min="58" max="16384" width="11.42578125" style="166"/>
  </cols>
  <sheetData>
    <row r="1" spans="1:57" ht="21" x14ac:dyDescent="0.25">
      <c r="AD1" s="591" t="s">
        <v>1573</v>
      </c>
      <c r="AE1" s="591"/>
      <c r="AF1" s="591"/>
    </row>
    <row r="2" spans="1:57" x14ac:dyDescent="0.25">
      <c r="AD2" s="585" t="s">
        <v>1572</v>
      </c>
      <c r="AE2" s="125"/>
      <c r="AF2" s="126"/>
    </row>
    <row r="3" spans="1:57" x14ac:dyDescent="0.25">
      <c r="AD3" s="585"/>
      <c r="AE3" s="125"/>
      <c r="AF3" s="126"/>
    </row>
    <row r="4" spans="1:57" s="532" customFormat="1" ht="21.75" customHeight="1" x14ac:dyDescent="0.25">
      <c r="A4" s="537" t="s">
        <v>971</v>
      </c>
      <c r="B4" s="537" t="s">
        <v>972</v>
      </c>
      <c r="C4" s="537" t="s">
        <v>159</v>
      </c>
      <c r="D4" s="537" t="s">
        <v>973</v>
      </c>
      <c r="E4" s="537" t="s">
        <v>974</v>
      </c>
      <c r="F4" s="537" t="s">
        <v>975</v>
      </c>
      <c r="G4" s="537" t="s">
        <v>145</v>
      </c>
      <c r="H4" s="537" t="s">
        <v>146</v>
      </c>
      <c r="I4" s="537" t="s">
        <v>144</v>
      </c>
      <c r="J4" s="537" t="s">
        <v>976</v>
      </c>
      <c r="K4" s="537" t="s">
        <v>977</v>
      </c>
      <c r="L4" s="537" t="s">
        <v>978</v>
      </c>
      <c r="M4" s="537" t="s">
        <v>979</v>
      </c>
      <c r="N4" s="537" t="s">
        <v>980</v>
      </c>
      <c r="O4" s="537" t="s">
        <v>981</v>
      </c>
      <c r="P4" s="537" t="s">
        <v>982</v>
      </c>
      <c r="Q4" s="537" t="s">
        <v>983</v>
      </c>
      <c r="R4" s="537" t="s">
        <v>984</v>
      </c>
      <c r="S4" s="537" t="s">
        <v>985</v>
      </c>
      <c r="T4" s="537" t="s">
        <v>169</v>
      </c>
      <c r="U4" s="537" t="s">
        <v>165</v>
      </c>
      <c r="V4" s="537" t="s">
        <v>986</v>
      </c>
      <c r="W4" s="537" t="s">
        <v>167</v>
      </c>
      <c r="X4" s="537" t="s">
        <v>162</v>
      </c>
      <c r="Y4" s="537" t="s">
        <v>987</v>
      </c>
      <c r="Z4" s="537" t="s">
        <v>988</v>
      </c>
      <c r="AA4" s="537" t="s">
        <v>989</v>
      </c>
      <c r="AB4" s="537" t="s">
        <v>990</v>
      </c>
      <c r="AC4" s="537" t="s">
        <v>155</v>
      </c>
      <c r="AD4" s="537" t="s">
        <v>991</v>
      </c>
      <c r="AE4" s="537" t="s">
        <v>89</v>
      </c>
      <c r="AF4" s="537" t="s">
        <v>1261</v>
      </c>
      <c r="AG4" s="537" t="s">
        <v>992</v>
      </c>
      <c r="AH4" s="537" t="s">
        <v>993</v>
      </c>
      <c r="AI4" s="537" t="s">
        <v>994</v>
      </c>
      <c r="AJ4" s="537" t="s">
        <v>149</v>
      </c>
      <c r="AK4" s="534"/>
      <c r="AL4" s="534"/>
      <c r="AM4" s="534"/>
      <c r="AN4" s="534"/>
      <c r="AO4" s="534"/>
      <c r="AP4" s="534"/>
      <c r="AQ4" s="534"/>
      <c r="AR4" s="534"/>
      <c r="AS4" s="534"/>
      <c r="AT4" s="534"/>
      <c r="AU4" s="534"/>
      <c r="AV4" s="534"/>
      <c r="AW4" s="534"/>
      <c r="AX4" s="534"/>
      <c r="AY4" s="534"/>
      <c r="AZ4" s="534"/>
      <c r="BA4" s="534"/>
      <c r="BB4" s="534"/>
      <c r="BC4" s="534"/>
      <c r="BD4" s="534"/>
      <c r="BE4" s="534"/>
    </row>
    <row r="5" spans="1:57" s="233" customFormat="1" x14ac:dyDescent="0.25">
      <c r="A5" s="230">
        <v>1</v>
      </c>
      <c r="B5" s="230" t="s">
        <v>184</v>
      </c>
      <c r="C5" s="230" t="s">
        <v>995</v>
      </c>
      <c r="D5" s="230" t="s">
        <v>996</v>
      </c>
      <c r="E5" s="230"/>
      <c r="F5" s="230" t="s">
        <v>997</v>
      </c>
      <c r="G5" s="230"/>
      <c r="H5" s="230" t="s">
        <v>998</v>
      </c>
      <c r="I5" s="230" t="s">
        <v>999</v>
      </c>
      <c r="J5" s="231">
        <v>44205.488240740742</v>
      </c>
      <c r="K5" s="231">
        <v>44205.488240740742</v>
      </c>
      <c r="L5" s="230" t="s">
        <v>996</v>
      </c>
      <c r="M5" s="230"/>
      <c r="N5" s="230" t="s">
        <v>1000</v>
      </c>
      <c r="O5" s="230" t="s">
        <v>1001</v>
      </c>
      <c r="P5" s="230" t="s">
        <v>1002</v>
      </c>
      <c r="Q5" s="230" t="s">
        <v>1003</v>
      </c>
      <c r="R5" s="230" t="s">
        <v>1004</v>
      </c>
      <c r="S5" s="230" t="s">
        <v>1005</v>
      </c>
      <c r="T5" s="230" t="s">
        <v>1006</v>
      </c>
      <c r="U5" s="230" t="s">
        <v>1007</v>
      </c>
      <c r="V5" s="230" t="s">
        <v>1008</v>
      </c>
      <c r="W5" s="230" t="s">
        <v>1009</v>
      </c>
      <c r="X5" s="230" t="s">
        <v>183</v>
      </c>
      <c r="Y5" s="230"/>
      <c r="Z5" s="230" t="s">
        <v>1038</v>
      </c>
      <c r="AA5" s="230" t="s">
        <v>1011</v>
      </c>
      <c r="AB5" s="232">
        <v>11555.88889</v>
      </c>
      <c r="AC5" s="232">
        <v>0</v>
      </c>
      <c r="AD5" s="232">
        <f>AB5*0.16</f>
        <v>1848.9422224</v>
      </c>
      <c r="AE5" s="232"/>
      <c r="AF5" s="232">
        <f>AB5*1.25%</f>
        <v>144.44861112500001</v>
      </c>
      <c r="AG5" s="232">
        <v>0</v>
      </c>
      <c r="AH5" s="232">
        <v>0</v>
      </c>
      <c r="AI5" s="232">
        <v>0</v>
      </c>
      <c r="AJ5" s="232">
        <f>AB5+AD5-AE5-AF5</f>
        <v>13260.382501274999</v>
      </c>
      <c r="AK5" s="535"/>
      <c r="AL5" s="535"/>
      <c r="AM5" s="535"/>
      <c r="AN5" s="536"/>
      <c r="AO5" s="536"/>
      <c r="AP5" s="536"/>
      <c r="AQ5" s="536"/>
      <c r="AR5" s="536"/>
      <c r="AS5" s="536"/>
      <c r="AT5" s="536"/>
      <c r="AU5" s="536"/>
      <c r="AV5" s="536"/>
      <c r="AW5" s="536"/>
      <c r="AX5" s="536"/>
      <c r="AY5" s="536"/>
      <c r="AZ5" s="536"/>
      <c r="BA5" s="536"/>
      <c r="BB5" s="536"/>
      <c r="BC5" s="536"/>
      <c r="BD5" s="536"/>
      <c r="BE5" s="536"/>
    </row>
    <row r="6" spans="1:57" x14ac:dyDescent="0.25">
      <c r="A6" s="235">
        <v>1</v>
      </c>
      <c r="B6" s="235" t="s">
        <v>184</v>
      </c>
      <c r="C6" s="235" t="s">
        <v>1012</v>
      </c>
      <c r="D6" s="235" t="s">
        <v>996</v>
      </c>
      <c r="E6" s="235"/>
      <c r="F6" s="235" t="s">
        <v>997</v>
      </c>
      <c r="G6" s="235"/>
      <c r="H6" s="235" t="s">
        <v>297</v>
      </c>
      <c r="I6" s="235" t="s">
        <v>999</v>
      </c>
      <c r="J6" s="236">
        <v>44205.488240740742</v>
      </c>
      <c r="K6" s="236">
        <v>44205.488240740742</v>
      </c>
      <c r="L6" s="235" t="s">
        <v>996</v>
      </c>
      <c r="M6" s="235"/>
      <c r="N6" s="235" t="s">
        <v>1000</v>
      </c>
      <c r="O6" s="235" t="s">
        <v>1001</v>
      </c>
      <c r="P6" s="235" t="s">
        <v>1002</v>
      </c>
      <c r="Q6" s="235" t="s">
        <v>1013</v>
      </c>
      <c r="R6" s="235" t="s">
        <v>1014</v>
      </c>
      <c r="S6" s="235" t="s">
        <v>1015</v>
      </c>
      <c r="T6" s="235" t="s">
        <v>1016</v>
      </c>
      <c r="U6" s="235" t="s">
        <v>1007</v>
      </c>
      <c r="V6" s="235" t="s">
        <v>1008</v>
      </c>
      <c r="W6" s="235" t="s">
        <v>1009</v>
      </c>
      <c r="X6" s="235" t="s">
        <v>183</v>
      </c>
      <c r="Y6" s="235"/>
      <c r="Z6" s="235" t="s">
        <v>1038</v>
      </c>
      <c r="AA6" s="235" t="s">
        <v>1011</v>
      </c>
      <c r="AB6" s="234">
        <v>11555.88889</v>
      </c>
      <c r="AC6" s="237">
        <v>0</v>
      </c>
      <c r="AD6" s="234">
        <f t="shared" ref="AD6:AD14" si="0">AB6*0.16</f>
        <v>1848.9422224</v>
      </c>
      <c r="AE6" s="237">
        <v>0</v>
      </c>
      <c r="AF6" s="237">
        <v>0</v>
      </c>
      <c r="AG6" s="237">
        <v>0</v>
      </c>
      <c r="AH6" s="237">
        <v>0</v>
      </c>
      <c r="AI6" s="237">
        <v>0</v>
      </c>
      <c r="AJ6" s="237">
        <f>AB6+AD6</f>
        <v>13404.831112399999</v>
      </c>
    </row>
    <row r="7" spans="1:57" x14ac:dyDescent="0.25">
      <c r="A7" s="235">
        <v>1</v>
      </c>
      <c r="B7" s="235" t="s">
        <v>184</v>
      </c>
      <c r="C7" s="235" t="s">
        <v>1017</v>
      </c>
      <c r="D7" s="235" t="s">
        <v>996</v>
      </c>
      <c r="E7" s="235"/>
      <c r="F7" s="235" t="s">
        <v>997</v>
      </c>
      <c r="G7" s="235"/>
      <c r="H7" s="235" t="s">
        <v>266</v>
      </c>
      <c r="I7" s="235" t="s">
        <v>999</v>
      </c>
      <c r="J7" s="236">
        <v>44205.488240740742</v>
      </c>
      <c r="K7" s="236">
        <v>44205.488240740742</v>
      </c>
      <c r="L7" s="235" t="s">
        <v>996</v>
      </c>
      <c r="M7" s="235"/>
      <c r="N7" s="235" t="s">
        <v>1000</v>
      </c>
      <c r="O7" s="235" t="s">
        <v>1001</v>
      </c>
      <c r="P7" s="235" t="s">
        <v>1002</v>
      </c>
      <c r="Q7" s="235" t="s">
        <v>1013</v>
      </c>
      <c r="R7" s="235" t="s">
        <v>1014</v>
      </c>
      <c r="S7" s="235" t="s">
        <v>1018</v>
      </c>
      <c r="T7" s="235" t="s">
        <v>1019</v>
      </c>
      <c r="U7" s="235" t="s">
        <v>1007</v>
      </c>
      <c r="V7" s="235" t="s">
        <v>1008</v>
      </c>
      <c r="W7" s="235" t="s">
        <v>1009</v>
      </c>
      <c r="X7" s="235" t="s">
        <v>183</v>
      </c>
      <c r="Y7" s="235"/>
      <c r="Z7" s="235" t="s">
        <v>1038</v>
      </c>
      <c r="AA7" s="235" t="s">
        <v>1011</v>
      </c>
      <c r="AB7" s="234">
        <v>11555.88889</v>
      </c>
      <c r="AC7" s="237">
        <v>0</v>
      </c>
      <c r="AD7" s="234">
        <f t="shared" si="0"/>
        <v>1848.9422224</v>
      </c>
      <c r="AE7" s="237">
        <v>0</v>
      </c>
      <c r="AF7" s="237">
        <v>0</v>
      </c>
      <c r="AG7" s="237">
        <v>0</v>
      </c>
      <c r="AH7" s="237">
        <v>0</v>
      </c>
      <c r="AI7" s="237">
        <v>0</v>
      </c>
      <c r="AJ7" s="237">
        <f t="shared" ref="AJ7:AJ14" si="1">AB7+AD7</f>
        <v>13404.831112399999</v>
      </c>
    </row>
    <row r="8" spans="1:57" x14ac:dyDescent="0.25">
      <c r="A8" s="235">
        <v>1</v>
      </c>
      <c r="B8" s="235" t="s">
        <v>184</v>
      </c>
      <c r="C8" s="235" t="s">
        <v>1020</v>
      </c>
      <c r="D8" s="235" t="s">
        <v>996</v>
      </c>
      <c r="E8" s="235"/>
      <c r="F8" s="235" t="s">
        <v>997</v>
      </c>
      <c r="G8" s="235"/>
      <c r="H8" s="235" t="s">
        <v>313</v>
      </c>
      <c r="I8" s="235" t="s">
        <v>999</v>
      </c>
      <c r="J8" s="236">
        <v>44205.488240740742</v>
      </c>
      <c r="K8" s="236">
        <v>44205.488240740742</v>
      </c>
      <c r="L8" s="235" t="s">
        <v>996</v>
      </c>
      <c r="M8" s="235"/>
      <c r="N8" s="235" t="s">
        <v>1000</v>
      </c>
      <c r="O8" s="235" t="s">
        <v>1001</v>
      </c>
      <c r="P8" s="235" t="s">
        <v>1002</v>
      </c>
      <c r="Q8" s="235" t="s">
        <v>1013</v>
      </c>
      <c r="R8" s="235" t="s">
        <v>1014</v>
      </c>
      <c r="S8" s="235" t="s">
        <v>1018</v>
      </c>
      <c r="T8" s="235" t="s">
        <v>1021</v>
      </c>
      <c r="U8" s="235" t="s">
        <v>1007</v>
      </c>
      <c r="V8" s="235" t="s">
        <v>1008</v>
      </c>
      <c r="W8" s="235" t="s">
        <v>1009</v>
      </c>
      <c r="X8" s="235" t="s">
        <v>183</v>
      </c>
      <c r="Y8" s="235"/>
      <c r="Z8" s="235" t="s">
        <v>1038</v>
      </c>
      <c r="AA8" s="235" t="s">
        <v>1011</v>
      </c>
      <c r="AB8" s="234">
        <v>11555.88889</v>
      </c>
      <c r="AC8" s="237">
        <v>0</v>
      </c>
      <c r="AD8" s="234">
        <f t="shared" si="0"/>
        <v>1848.9422224</v>
      </c>
      <c r="AE8" s="237">
        <v>0</v>
      </c>
      <c r="AF8" s="237">
        <v>0</v>
      </c>
      <c r="AG8" s="237">
        <v>0</v>
      </c>
      <c r="AH8" s="237">
        <v>0</v>
      </c>
      <c r="AI8" s="237">
        <v>0</v>
      </c>
      <c r="AJ8" s="237">
        <f t="shared" si="1"/>
        <v>13404.831112399999</v>
      </c>
    </row>
    <row r="9" spans="1:57" x14ac:dyDescent="0.25">
      <c r="A9" s="235">
        <v>1</v>
      </c>
      <c r="B9" s="235" t="s">
        <v>184</v>
      </c>
      <c r="C9" s="235" t="s">
        <v>1022</v>
      </c>
      <c r="D9" s="235" t="s">
        <v>996</v>
      </c>
      <c r="E9" s="235"/>
      <c r="F9" s="235" t="s">
        <v>997</v>
      </c>
      <c r="G9" s="235"/>
      <c r="H9" s="235" t="s">
        <v>248</v>
      </c>
      <c r="I9" s="235" t="s">
        <v>999</v>
      </c>
      <c r="J9" s="236">
        <v>44205.488240740742</v>
      </c>
      <c r="K9" s="236">
        <v>44205.488240740742</v>
      </c>
      <c r="L9" s="235" t="s">
        <v>996</v>
      </c>
      <c r="M9" s="235"/>
      <c r="N9" s="235" t="s">
        <v>1000</v>
      </c>
      <c r="O9" s="235" t="s">
        <v>1001</v>
      </c>
      <c r="P9" s="235" t="s">
        <v>1002</v>
      </c>
      <c r="Q9" s="235" t="s">
        <v>1003</v>
      </c>
      <c r="R9" s="235" t="s">
        <v>1004</v>
      </c>
      <c r="S9" s="235" t="s">
        <v>1015</v>
      </c>
      <c r="T9" s="235" t="s">
        <v>1023</v>
      </c>
      <c r="U9" s="235" t="s">
        <v>1007</v>
      </c>
      <c r="V9" s="235" t="s">
        <v>1008</v>
      </c>
      <c r="W9" s="235" t="s">
        <v>1009</v>
      </c>
      <c r="X9" s="235" t="s">
        <v>183</v>
      </c>
      <c r="Y9" s="235"/>
      <c r="Z9" s="235" t="s">
        <v>1038</v>
      </c>
      <c r="AA9" s="235" t="s">
        <v>1011</v>
      </c>
      <c r="AB9" s="234">
        <v>11555.88889</v>
      </c>
      <c r="AC9" s="237">
        <v>0</v>
      </c>
      <c r="AD9" s="234">
        <f t="shared" si="0"/>
        <v>1848.9422224</v>
      </c>
      <c r="AE9" s="237">
        <v>0</v>
      </c>
      <c r="AF9" s="237">
        <v>0</v>
      </c>
      <c r="AG9" s="237">
        <v>0</v>
      </c>
      <c r="AH9" s="237">
        <v>0</v>
      </c>
      <c r="AI9" s="237">
        <v>0</v>
      </c>
      <c r="AJ9" s="237">
        <f t="shared" si="1"/>
        <v>13404.831112399999</v>
      </c>
    </row>
    <row r="10" spans="1:57" x14ac:dyDescent="0.25">
      <c r="A10" s="235">
        <v>1</v>
      </c>
      <c r="B10" s="235" t="s">
        <v>184</v>
      </c>
      <c r="C10" s="235" t="s">
        <v>1024</v>
      </c>
      <c r="D10" s="235" t="s">
        <v>996</v>
      </c>
      <c r="E10" s="235"/>
      <c r="F10" s="235" t="s">
        <v>997</v>
      </c>
      <c r="G10" s="235"/>
      <c r="H10" s="235" t="s">
        <v>1025</v>
      </c>
      <c r="I10" s="235" t="s">
        <v>999</v>
      </c>
      <c r="J10" s="236">
        <v>44205.488240740742</v>
      </c>
      <c r="K10" s="236">
        <v>44205.488240740742</v>
      </c>
      <c r="L10" s="235" t="s">
        <v>996</v>
      </c>
      <c r="M10" s="235"/>
      <c r="N10" s="235" t="s">
        <v>1000</v>
      </c>
      <c r="O10" s="235" t="s">
        <v>1001</v>
      </c>
      <c r="P10" s="235" t="s">
        <v>1002</v>
      </c>
      <c r="Q10" s="235" t="s">
        <v>1003</v>
      </c>
      <c r="R10" s="235" t="s">
        <v>1004</v>
      </c>
      <c r="S10" s="235" t="s">
        <v>1026</v>
      </c>
      <c r="T10" s="235" t="s">
        <v>1027</v>
      </c>
      <c r="U10" s="235" t="s">
        <v>1007</v>
      </c>
      <c r="V10" s="235" t="s">
        <v>1008</v>
      </c>
      <c r="W10" s="235" t="s">
        <v>1009</v>
      </c>
      <c r="X10" s="235" t="s">
        <v>183</v>
      </c>
      <c r="Y10" s="235"/>
      <c r="Z10" s="235" t="s">
        <v>1038</v>
      </c>
      <c r="AA10" s="235" t="s">
        <v>1011</v>
      </c>
      <c r="AB10" s="234">
        <v>11555.88889</v>
      </c>
      <c r="AC10" s="237">
        <v>0</v>
      </c>
      <c r="AD10" s="234">
        <f t="shared" si="0"/>
        <v>1848.9422224</v>
      </c>
      <c r="AE10" s="237">
        <v>0</v>
      </c>
      <c r="AF10" s="237">
        <v>0</v>
      </c>
      <c r="AG10" s="237">
        <v>0</v>
      </c>
      <c r="AH10" s="237">
        <v>0</v>
      </c>
      <c r="AI10" s="237">
        <v>0</v>
      </c>
      <c r="AJ10" s="237">
        <f t="shared" si="1"/>
        <v>13404.831112399999</v>
      </c>
    </row>
    <row r="11" spans="1:57" x14ac:dyDescent="0.25">
      <c r="A11" s="235">
        <v>1</v>
      </c>
      <c r="B11" s="235" t="s">
        <v>184</v>
      </c>
      <c r="C11" s="235" t="s">
        <v>1028</v>
      </c>
      <c r="D11" s="235" t="s">
        <v>996</v>
      </c>
      <c r="E11" s="235"/>
      <c r="F11" s="235" t="s">
        <v>997</v>
      </c>
      <c r="G11" s="235"/>
      <c r="H11" s="235" t="s">
        <v>191</v>
      </c>
      <c r="I11" s="235" t="s">
        <v>999</v>
      </c>
      <c r="J11" s="236">
        <v>44205.488240740742</v>
      </c>
      <c r="K11" s="236">
        <v>44205.488240740742</v>
      </c>
      <c r="L11" s="235" t="s">
        <v>996</v>
      </c>
      <c r="M11" s="235"/>
      <c r="N11" s="235" t="s">
        <v>1000</v>
      </c>
      <c r="O11" s="235" t="s">
        <v>1001</v>
      </c>
      <c r="P11" s="235" t="s">
        <v>1002</v>
      </c>
      <c r="Q11" s="235" t="s">
        <v>1013</v>
      </c>
      <c r="R11" s="235" t="s">
        <v>1014</v>
      </c>
      <c r="S11" s="235" t="s">
        <v>1015</v>
      </c>
      <c r="T11" s="235" t="s">
        <v>1029</v>
      </c>
      <c r="U11" s="235" t="s">
        <v>1007</v>
      </c>
      <c r="V11" s="235" t="s">
        <v>1008</v>
      </c>
      <c r="W11" s="235" t="s">
        <v>1009</v>
      </c>
      <c r="X11" s="235" t="s">
        <v>183</v>
      </c>
      <c r="Y11" s="235"/>
      <c r="Z11" s="235" t="s">
        <v>1038</v>
      </c>
      <c r="AA11" s="235" t="s">
        <v>1011</v>
      </c>
      <c r="AB11" s="234">
        <v>11555.88889</v>
      </c>
      <c r="AC11" s="237">
        <v>0</v>
      </c>
      <c r="AD11" s="234">
        <f t="shared" si="0"/>
        <v>1848.9422224</v>
      </c>
      <c r="AE11" s="237">
        <v>0</v>
      </c>
      <c r="AF11" s="237">
        <v>0</v>
      </c>
      <c r="AG11" s="237">
        <v>0</v>
      </c>
      <c r="AH11" s="237">
        <v>0</v>
      </c>
      <c r="AI11" s="237">
        <v>0</v>
      </c>
      <c r="AJ11" s="237">
        <f t="shared" si="1"/>
        <v>13404.831112399999</v>
      </c>
    </row>
    <row r="12" spans="1:57" x14ac:dyDescent="0.25">
      <c r="A12" s="235">
        <v>1</v>
      </c>
      <c r="B12" s="235" t="s">
        <v>184</v>
      </c>
      <c r="C12" s="235" t="s">
        <v>1030</v>
      </c>
      <c r="D12" s="235" t="s">
        <v>996</v>
      </c>
      <c r="E12" s="235"/>
      <c r="F12" s="235" t="s">
        <v>997</v>
      </c>
      <c r="G12" s="235"/>
      <c r="H12" s="235" t="s">
        <v>241</v>
      </c>
      <c r="I12" s="235" t="s">
        <v>999</v>
      </c>
      <c r="J12" s="236">
        <v>44205.488240740742</v>
      </c>
      <c r="K12" s="236">
        <v>44205.488240740742</v>
      </c>
      <c r="L12" s="235" t="s">
        <v>996</v>
      </c>
      <c r="M12" s="235"/>
      <c r="N12" s="235" t="s">
        <v>1000</v>
      </c>
      <c r="O12" s="235" t="s">
        <v>1001</v>
      </c>
      <c r="P12" s="235" t="s">
        <v>1002</v>
      </c>
      <c r="Q12" s="235" t="s">
        <v>1003</v>
      </c>
      <c r="R12" s="235" t="s">
        <v>1004</v>
      </c>
      <c r="S12" s="235" t="s">
        <v>1031</v>
      </c>
      <c r="T12" s="235" t="s">
        <v>1032</v>
      </c>
      <c r="U12" s="235" t="s">
        <v>1007</v>
      </c>
      <c r="V12" s="235" t="s">
        <v>1008</v>
      </c>
      <c r="W12" s="235" t="s">
        <v>1009</v>
      </c>
      <c r="X12" s="235" t="s">
        <v>183</v>
      </c>
      <c r="Y12" s="235"/>
      <c r="Z12" s="235" t="s">
        <v>1038</v>
      </c>
      <c r="AA12" s="235" t="s">
        <v>1011</v>
      </c>
      <c r="AB12" s="234">
        <v>11555.88889</v>
      </c>
      <c r="AC12" s="237">
        <v>0</v>
      </c>
      <c r="AD12" s="234">
        <f t="shared" si="0"/>
        <v>1848.9422224</v>
      </c>
      <c r="AE12" s="237">
        <v>0</v>
      </c>
      <c r="AF12" s="237">
        <v>0</v>
      </c>
      <c r="AG12" s="237">
        <v>0</v>
      </c>
      <c r="AH12" s="237">
        <v>0</v>
      </c>
      <c r="AI12" s="237">
        <v>0</v>
      </c>
      <c r="AJ12" s="237">
        <f t="shared" si="1"/>
        <v>13404.831112399999</v>
      </c>
    </row>
    <row r="13" spans="1:57" x14ac:dyDescent="0.25">
      <c r="A13" s="235">
        <v>1</v>
      </c>
      <c r="B13" s="235" t="s">
        <v>184</v>
      </c>
      <c r="C13" s="235" t="s">
        <v>1033</v>
      </c>
      <c r="D13" s="235" t="s">
        <v>996</v>
      </c>
      <c r="E13" s="235"/>
      <c r="F13" s="235" t="s">
        <v>997</v>
      </c>
      <c r="G13" s="235"/>
      <c r="H13" s="235" t="s">
        <v>206</v>
      </c>
      <c r="I13" s="235" t="s">
        <v>999</v>
      </c>
      <c r="J13" s="236">
        <v>44205.488240740742</v>
      </c>
      <c r="K13" s="236">
        <v>44205.488240740742</v>
      </c>
      <c r="L13" s="235" t="s">
        <v>996</v>
      </c>
      <c r="M13" s="235"/>
      <c r="N13" s="235" t="s">
        <v>1000</v>
      </c>
      <c r="O13" s="235" t="s">
        <v>1001</v>
      </c>
      <c r="P13" s="235" t="s">
        <v>1002</v>
      </c>
      <c r="Q13" s="235" t="s">
        <v>1034</v>
      </c>
      <c r="R13" s="235" t="s">
        <v>1035</v>
      </c>
      <c r="S13" s="235" t="s">
        <v>1036</v>
      </c>
      <c r="T13" s="235" t="s">
        <v>1037</v>
      </c>
      <c r="U13" s="235" t="s">
        <v>1007</v>
      </c>
      <c r="V13" s="235" t="s">
        <v>1008</v>
      </c>
      <c r="W13" s="235" t="s">
        <v>1009</v>
      </c>
      <c r="X13" s="235" t="s">
        <v>183</v>
      </c>
      <c r="Y13" s="235"/>
      <c r="Z13" s="235" t="s">
        <v>1038</v>
      </c>
      <c r="AA13" s="235" t="s">
        <v>1011</v>
      </c>
      <c r="AB13" s="234">
        <v>11555.88889</v>
      </c>
      <c r="AC13" s="237">
        <v>0</v>
      </c>
      <c r="AD13" s="234">
        <f t="shared" si="0"/>
        <v>1848.9422224</v>
      </c>
      <c r="AE13" s="237">
        <v>0</v>
      </c>
      <c r="AF13" s="237">
        <v>0</v>
      </c>
      <c r="AG13" s="237">
        <v>0</v>
      </c>
      <c r="AH13" s="237">
        <v>0</v>
      </c>
      <c r="AI13" s="237">
        <v>0</v>
      </c>
      <c r="AJ13" s="237">
        <f t="shared" si="1"/>
        <v>13404.831112399999</v>
      </c>
    </row>
    <row r="14" spans="1:57" s="533" customFormat="1" ht="16.5" customHeight="1" x14ac:dyDescent="0.25">
      <c r="A14" s="538">
        <v>1</v>
      </c>
      <c r="B14" s="538" t="s">
        <v>184</v>
      </c>
      <c r="C14" s="538" t="s">
        <v>1039</v>
      </c>
      <c r="D14" s="538" t="s">
        <v>996</v>
      </c>
      <c r="E14" s="538"/>
      <c r="F14" s="538" t="s">
        <v>997</v>
      </c>
      <c r="G14" s="538"/>
      <c r="H14" s="538" t="s">
        <v>198</v>
      </c>
      <c r="I14" s="538" t="s">
        <v>999</v>
      </c>
      <c r="J14" s="539">
        <v>44205.488240740742</v>
      </c>
      <c r="K14" s="539">
        <v>44205.488240740742</v>
      </c>
      <c r="L14" s="538" t="s">
        <v>996</v>
      </c>
      <c r="M14" s="538"/>
      <c r="N14" s="538" t="s">
        <v>1000</v>
      </c>
      <c r="O14" s="538" t="s">
        <v>1001</v>
      </c>
      <c r="P14" s="538" t="s">
        <v>1002</v>
      </c>
      <c r="Q14" s="538" t="s">
        <v>1003</v>
      </c>
      <c r="R14" s="538" t="s">
        <v>1004</v>
      </c>
      <c r="S14" s="538" t="s">
        <v>1015</v>
      </c>
      <c r="T14" s="538" t="s">
        <v>1040</v>
      </c>
      <c r="U14" s="538" t="s">
        <v>1007</v>
      </c>
      <c r="V14" s="538" t="s">
        <v>1008</v>
      </c>
      <c r="W14" s="538" t="s">
        <v>1009</v>
      </c>
      <c r="X14" s="538" t="s">
        <v>183</v>
      </c>
      <c r="Y14" s="538"/>
      <c r="Z14" s="538" t="s">
        <v>1038</v>
      </c>
      <c r="AA14" s="538" t="s">
        <v>1011</v>
      </c>
      <c r="AB14" s="540">
        <v>58761</v>
      </c>
      <c r="AC14" s="540">
        <v>0</v>
      </c>
      <c r="AD14" s="541">
        <f t="shared" si="0"/>
        <v>9401.76</v>
      </c>
      <c r="AE14" s="540">
        <v>0</v>
      </c>
      <c r="AF14" s="540">
        <v>0</v>
      </c>
      <c r="AG14" s="540">
        <v>0</v>
      </c>
      <c r="AH14" s="540">
        <v>0</v>
      </c>
      <c r="AI14" s="540">
        <v>0</v>
      </c>
      <c r="AJ14" s="540">
        <f t="shared" si="1"/>
        <v>68162.759999999995</v>
      </c>
      <c r="AK14" s="243"/>
      <c r="AL14" s="243"/>
      <c r="AM14" s="243"/>
      <c r="AN14" s="243"/>
      <c r="AO14" s="243"/>
      <c r="AP14" s="243"/>
      <c r="AQ14" s="243"/>
      <c r="AR14" s="243"/>
      <c r="AS14" s="243"/>
      <c r="AT14" s="243"/>
      <c r="AU14" s="243"/>
      <c r="AV14" s="243"/>
      <c r="AW14" s="243"/>
      <c r="AX14" s="243"/>
      <c r="AY14" s="243"/>
      <c r="AZ14" s="243"/>
      <c r="BA14" s="243"/>
      <c r="BB14" s="243"/>
      <c r="BC14" s="243"/>
      <c r="BD14" s="243"/>
      <c r="BE14" s="243"/>
    </row>
    <row r="15" spans="1:57" s="533" customFormat="1" ht="16.5" customHeight="1" x14ac:dyDescent="0.25">
      <c r="A15" s="538"/>
      <c r="B15" s="538"/>
      <c r="C15" s="538"/>
      <c r="D15" s="538"/>
      <c r="E15" s="538"/>
      <c r="F15" s="538"/>
      <c r="G15" s="538"/>
      <c r="H15" s="538"/>
      <c r="I15" s="538"/>
      <c r="J15" s="539"/>
      <c r="K15" s="539"/>
      <c r="L15" s="538"/>
      <c r="M15" s="538"/>
      <c r="N15" s="538"/>
      <c r="O15" s="538"/>
      <c r="P15" s="538"/>
      <c r="Q15" s="538"/>
      <c r="R15" s="538"/>
      <c r="S15" s="538"/>
      <c r="T15" s="538"/>
      <c r="U15" s="538"/>
      <c r="V15" s="538"/>
      <c r="W15" s="538"/>
      <c r="X15" s="538"/>
      <c r="Y15" s="538"/>
      <c r="Z15" s="538" t="s">
        <v>1038</v>
      </c>
      <c r="AA15" s="538">
        <v>3</v>
      </c>
      <c r="AB15" s="540"/>
      <c r="AC15" s="540"/>
      <c r="AD15" s="541"/>
      <c r="AE15" s="540"/>
      <c r="AF15" s="540"/>
      <c r="AG15" s="540"/>
      <c r="AH15" s="540"/>
      <c r="AI15" s="540"/>
      <c r="AJ15" s="540"/>
      <c r="AK15" s="243"/>
      <c r="AL15" s="243"/>
      <c r="AM15" s="243"/>
      <c r="AN15" s="243"/>
      <c r="AO15" s="243"/>
      <c r="AP15" s="243"/>
      <c r="AQ15" s="243"/>
      <c r="AR15" s="243"/>
      <c r="AS15" s="243"/>
      <c r="AT15" s="243"/>
      <c r="AU15" s="243"/>
      <c r="AV15" s="243"/>
      <c r="AW15" s="243"/>
      <c r="AX15" s="243"/>
      <c r="AY15" s="243"/>
      <c r="AZ15" s="243"/>
      <c r="BA15" s="243"/>
      <c r="BB15" s="243"/>
      <c r="BC15" s="243"/>
      <c r="BD15" s="243"/>
      <c r="BE15" s="243"/>
    </row>
    <row r="16" spans="1:57" x14ac:dyDescent="0.25">
      <c r="AB16" s="314">
        <f>SUM(AB5:AB13)</f>
        <v>104003.00001</v>
      </c>
      <c r="AD16" s="314">
        <f>SUM(AD5:AD13)</f>
        <v>16640.480001600004</v>
      </c>
      <c r="AJ16" s="314">
        <f>SUM(AJ5:AJ13)</f>
        <v>120499.03140047501</v>
      </c>
    </row>
    <row r="17" spans="25:36" x14ac:dyDescent="0.25">
      <c r="AA17" s="409"/>
      <c r="AB17" s="409"/>
      <c r="AC17" s="314"/>
      <c r="AD17" s="314"/>
    </row>
    <row r="18" spans="25:36" x14ac:dyDescent="0.25">
      <c r="AB18" s="314"/>
      <c r="AF18" s="408"/>
      <c r="AG18" s="408"/>
    </row>
    <row r="19" spans="25:36" x14ac:dyDescent="0.25">
      <c r="AB19" s="314"/>
      <c r="AF19" s="313"/>
      <c r="AG19" s="313"/>
    </row>
    <row r="20" spans="25:36" x14ac:dyDescent="0.25">
      <c r="AB20" s="314"/>
      <c r="AF20" s="312"/>
      <c r="AG20" s="312"/>
      <c r="AH20" s="243"/>
      <c r="AI20" s="243"/>
      <c r="AJ20" s="243"/>
    </row>
    <row r="21" spans="25:36" x14ac:dyDescent="0.25">
      <c r="Y21" s="315"/>
      <c r="Z21" s="315"/>
      <c r="AA21" s="315"/>
      <c r="AB21" s="315"/>
      <c r="AF21" s="310"/>
      <c r="AG21" s="311"/>
    </row>
    <row r="22" spans="25:36" x14ac:dyDescent="0.25">
      <c r="AF22" s="310"/>
      <c r="AG22" s="311"/>
    </row>
    <row r="23" spans="25:36" x14ac:dyDescent="0.25">
      <c r="AF23" s="310"/>
      <c r="AG23" s="311"/>
    </row>
    <row r="24" spans="25:36" x14ac:dyDescent="0.25">
      <c r="AF24" s="310"/>
      <c r="AG24" s="311"/>
    </row>
    <row r="25" spans="25:36" x14ac:dyDescent="0.25">
      <c r="AF25" s="310"/>
      <c r="AG25" s="311"/>
    </row>
    <row r="26" spans="25:36" x14ac:dyDescent="0.25">
      <c r="AF26" s="310"/>
      <c r="AG26" s="311"/>
    </row>
    <row r="27" spans="25:36" x14ac:dyDescent="0.25">
      <c r="AF27" s="310"/>
      <c r="AG27" s="311"/>
    </row>
    <row r="28" spans="25:36" x14ac:dyDescent="0.25">
      <c r="AF28" s="310"/>
      <c r="AG28" s="311"/>
    </row>
    <row r="29" spans="25:36" x14ac:dyDescent="0.25">
      <c r="AF29" s="310"/>
      <c r="AG29" s="311"/>
    </row>
    <row r="30" spans="25:36" x14ac:dyDescent="0.25">
      <c r="AF30" s="310"/>
      <c r="AG30" s="311"/>
    </row>
    <row r="31" spans="25:36" x14ac:dyDescent="0.25">
      <c r="AF31" s="310"/>
      <c r="AG31" s="311"/>
    </row>
    <row r="32" spans="25:36" x14ac:dyDescent="0.25">
      <c r="AF32" s="310"/>
      <c r="AG32" s="311"/>
    </row>
    <row r="33" spans="32:33" x14ac:dyDescent="0.25">
      <c r="AF33" s="310"/>
      <c r="AG33" s="311"/>
    </row>
    <row r="34" spans="32:33" x14ac:dyDescent="0.25">
      <c r="AF34" s="310"/>
      <c r="AG34" s="311"/>
    </row>
    <row r="35" spans="32:33" x14ac:dyDescent="0.25">
      <c r="AF35" s="310"/>
      <c r="AG35" s="311"/>
    </row>
    <row r="36" spans="32:33" x14ac:dyDescent="0.25">
      <c r="AF36" s="310"/>
      <c r="AG36" s="311"/>
    </row>
    <row r="37" spans="32:33" x14ac:dyDescent="0.25">
      <c r="AF37" s="310"/>
      <c r="AG37" s="311"/>
    </row>
    <row r="38" spans="32:33" x14ac:dyDescent="0.25">
      <c r="AF38" s="310"/>
      <c r="AG38" s="311"/>
    </row>
    <row r="39" spans="32:33" x14ac:dyDescent="0.25">
      <c r="AF39" s="310"/>
      <c r="AG39" s="311"/>
    </row>
    <row r="40" spans="32:33" x14ac:dyDescent="0.25">
      <c r="AF40" s="310"/>
      <c r="AG40" s="311"/>
    </row>
    <row r="51" spans="27:31" x14ac:dyDescent="0.25">
      <c r="AB51" s="166" t="s">
        <v>1568</v>
      </c>
      <c r="AD51" s="166" t="s">
        <v>1569</v>
      </c>
    </row>
    <row r="52" spans="27:31" x14ac:dyDescent="0.25">
      <c r="AA52" s="166" t="s">
        <v>1495</v>
      </c>
      <c r="AB52" s="89">
        <v>5000</v>
      </c>
    </row>
    <row r="53" spans="27:31" x14ac:dyDescent="0.25">
      <c r="AA53" s="166" t="s">
        <v>948</v>
      </c>
      <c r="AB53" s="89">
        <f>AB52*0.16</f>
        <v>800</v>
      </c>
    </row>
    <row r="54" spans="27:31" x14ac:dyDescent="0.25">
      <c r="AA54" s="166" t="s">
        <v>1570</v>
      </c>
      <c r="AB54" s="89">
        <f>AB52*1.25%</f>
        <v>62.5</v>
      </c>
      <c r="AE54" s="166">
        <v>16</v>
      </c>
    </row>
    <row r="55" spans="27:31" x14ac:dyDescent="0.25">
      <c r="AA55" s="166" t="s">
        <v>1571</v>
      </c>
      <c r="AB55" s="89">
        <f>AB53/3*2</f>
        <v>533.33333333333337</v>
      </c>
      <c r="AE55" s="166">
        <f>AE54/3*2</f>
        <v>10.666666666666666</v>
      </c>
    </row>
    <row r="56" spans="27:31" x14ac:dyDescent="0.25">
      <c r="AA56" s="166" t="s">
        <v>80</v>
      </c>
      <c r="AB56" s="314">
        <f>AB52+AB53-AB54-AB55</f>
        <v>5204.166666666667</v>
      </c>
    </row>
    <row r="65" spans="27:28" x14ac:dyDescent="0.25">
      <c r="AA65" s="166" t="s">
        <v>1421</v>
      </c>
    </row>
    <row r="66" spans="27:28" x14ac:dyDescent="0.25">
      <c r="AA66" s="166" t="s">
        <v>1010</v>
      </c>
      <c r="AB66" s="89">
        <v>2500</v>
      </c>
    </row>
    <row r="67" spans="27:28" x14ac:dyDescent="0.25">
      <c r="AA67" s="166" t="s">
        <v>1492</v>
      </c>
    </row>
    <row r="68" spans="27:28" x14ac:dyDescent="0.25">
      <c r="AA68" s="166" t="s">
        <v>1493</v>
      </c>
      <c r="AB68" s="314">
        <f>AB66</f>
        <v>2500</v>
      </c>
    </row>
  </sheetData>
  <mergeCells count="3">
    <mergeCell ref="AF18:AG18"/>
    <mergeCell ref="AA17:AB17"/>
    <mergeCell ref="AD1:AF1"/>
  </mergeCells>
  <hyperlinks>
    <hyperlink ref="AD2" r:id="rId1" display="https://www.youtube.com/watch?v=p4dXfU9Gm4k&amp;t=12s"/>
  </hyperlinks>
  <pageMargins left="0.7" right="0.7" top="0.75" bottom="0.75" header="0.3" footer="0.3"/>
  <pageSetup orientation="portrait" horizontalDpi="4294967293"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Persona Moral</vt:lpstr>
      <vt:lpstr>INGRESOS</vt:lpstr>
      <vt:lpstr>EGRESOS</vt:lpstr>
      <vt:lpstr>Personas Fisicas Act. Emp.</vt:lpstr>
      <vt:lpstr>XML EMIT.</vt:lpstr>
      <vt:lpstr>XML RECI.</vt:lpstr>
      <vt:lpstr>Hoja4</vt:lpstr>
      <vt:lpstr>C.C.M. </vt:lpstr>
      <vt:lpstr>INGRESOSRES</vt:lpstr>
      <vt:lpstr>MATERIALIDAD</vt:lpstr>
      <vt:lpstr>Hoja5</vt:lpstr>
      <vt:lpstr>EGRESOSRES</vt:lpstr>
      <vt:lpstr>CONFIANZA M.</vt:lpstr>
      <vt:lpstr>IVA RESICO</vt:lpstr>
      <vt:lpstr>CONFIANZA A.</vt:lpstr>
      <vt:lpstr>EMPRESARIAL</vt:lpstr>
      <vt:lpstr>RIF-RES</vt:lpstr>
      <vt:lpstr>AÑO IRREGULAR</vt:lpstr>
      <vt:lpstr>DIAPO 15,16,17</vt:lpstr>
      <vt:lpstr>PTU 27</vt:lpstr>
      <vt:lpstr>RETENCIÓN31</vt:lpstr>
      <vt:lpstr>EJEMPLO</vt:lpstr>
      <vt:lpstr>RETENCION</vt:lpstr>
      <vt:lpstr>AGAPES</vt:lpstr>
      <vt:lpstr>CFDI AGAPE</vt:lpstr>
      <vt:lpstr>AGAPE CP</vt:lpstr>
      <vt:lpstr>PROPORCION IVA</vt:lpstr>
      <vt:lpstr>Hoja1</vt:lpstr>
      <vt:lpstr>Hoja10</vt:lpstr>
      <vt:lpstr>Hoja3</vt:lpstr>
      <vt:lpstr>RETENCION DIARIA</vt:lpstr>
      <vt:lpstr>Hoja2</vt:lpstr>
      <vt:lpstr>Tablas de ISR</vt:lpstr>
      <vt:lpstr>DEDUCCIONES </vt:lpstr>
      <vt:lpstr>DEPRECIACIONES</vt:lpstr>
      <vt:lpstr>Tablas de ISR RIF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 Sanchez C.</dc:creator>
  <cp:lastModifiedBy>decoslipk@hotmail.com</cp:lastModifiedBy>
  <dcterms:created xsi:type="dcterms:W3CDTF">2020-07-03T17:10:41Z</dcterms:created>
  <dcterms:modified xsi:type="dcterms:W3CDTF">2023-02-14T17:22:02Z</dcterms:modified>
</cp:coreProperties>
</file>